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0680" windowHeight="12315" activeTab="2"/>
  </bookViews>
  <sheets>
    <sheet name="Raw Data" sheetId="1" r:id="rId1"/>
    <sheet name="Reset" sheetId="2" r:id="rId2"/>
    <sheet name="Fees" sheetId="3" r:id="rId3"/>
    <sheet name="Taxes ('08)" sheetId="4" r:id="rId4"/>
    <sheet name="Taxes ('07)" sheetId="5" r:id="rId5"/>
  </sheets>
  <definedNames>
    <definedName name="highered" localSheetId="0">'Raw Data'!#REF!</definedName>
  </definedNames>
  <calcPr fullCalcOnLoad="1"/>
</workbook>
</file>

<file path=xl/sharedStrings.xml><?xml version="1.0" encoding="utf-8"?>
<sst xmlns="http://schemas.openxmlformats.org/spreadsheetml/2006/main" count="371" uniqueCount="139">
  <si>
    <t>Year</t>
  </si>
  <si>
    <t>UC</t>
  </si>
  <si>
    <t>CSU</t>
  </si>
  <si>
    <t>CCC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</si>
  <si>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</si>
  <si>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</si>
  <si>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</si>
  <si>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</si>
  <si>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</si>
  <si>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</si>
  <si>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</si>
  <si>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</si>
  <si>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</si>
  <si>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</si>
  <si>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</si>
  <si>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</si>
  <si>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</si>
  <si>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</si>
  <si>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</si>
  <si>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</si>
  <si>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</si>
  <si>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</si>
  <si>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</si>
  <si>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</si>
  <si>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</si>
  <si>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</si>
  <si>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</si>
  <si>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</si>
  <si>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</si>
  <si>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</si>
  <si>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Total Gen. Fund ($1,000's)</t>
  </si>
  <si>
    <t>FTE</t>
  </si>
  <si>
    <t>Student FTE</t>
  </si>
  <si>
    <t>State General Funds (mil)</t>
  </si>
  <si>
    <t>Total State Funds (mil)</t>
  </si>
  <si>
    <t>2000-01 (2001 dollars)</t>
  </si>
  <si>
    <t>Shortfall</t>
  </si>
  <si>
    <t>Qualified students denied admission</t>
  </si>
  <si>
    <t>State Funds</t>
  </si>
  <si>
    <t>Total Funding</t>
  </si>
  <si>
    <t>Tuition &amp; fees</t>
  </si>
  <si>
    <t>Gross</t>
  </si>
  <si>
    <t>Net*</t>
  </si>
  <si>
    <t>Total tuition and fees required to return to 2000-01 quality levels</t>
  </si>
  <si>
    <t>Additional tuition and fees to return to 2000-01 quality levels (2010)</t>
  </si>
  <si>
    <t>Return to aid fraction</t>
  </si>
  <si>
    <t xml:space="preserve">Tuition &amp; fees </t>
  </si>
  <si>
    <t>State Funds per Student</t>
  </si>
  <si>
    <t>&lt;- enter any number you want here and the sheet will ditribute it over the income levels</t>
  </si>
  <si>
    <t>Number</t>
  </si>
  <si>
    <t>Percent</t>
  </si>
  <si>
    <t>Negative</t>
  </si>
  <si>
    <t>Zero</t>
  </si>
  <si>
    <t>to</t>
  </si>
  <si>
    <t>and over</t>
  </si>
  <si>
    <t>Corporations</t>
  </si>
  <si>
    <t>Total Tax Liability ($ 1,000s)</t>
  </si>
  <si>
    <t>Adjusted gross income class</t>
  </si>
  <si>
    <t>Number of returns</t>
  </si>
  <si>
    <t>Liability per return (average)</t>
  </si>
  <si>
    <t>Additional amount per return to restore public higher education</t>
  </si>
  <si>
    <t>Cumulative percent of all returns</t>
  </si>
  <si>
    <t>*Income classes as based on all tax returns, which include individual returns, joint (family) returns, partnerships and Subchapter S corporations.</t>
  </si>
  <si>
    <t xml:space="preserve">$ 1 </t>
  </si>
  <si>
    <t xml:space="preserve">$ 999 </t>
  </si>
  <si>
    <t>Total Funds per Student</t>
  </si>
  <si>
    <t>Fees</t>
  </si>
  <si>
    <t>Table 3: Additional State Income Tax Needed to Restore California Public Higher education
to 2000-1 Funding Level, by Taxpayer's Adjusted Gross Income*</t>
  </si>
  <si>
    <t>General Purpose Funds ($1,000's)</t>
  </si>
  <si>
    <t>State Total</t>
  </si>
  <si>
    <t>Totals / Averages</t>
  </si>
  <si>
    <t>2010-11</t>
  </si>
  <si>
    <t>2011-12</t>
  </si>
  <si>
    <t>Community colleges get a share of local property taxes. This should probably count in state share.</t>
  </si>
  <si>
    <t>The above figures all exclude federal ARRA $</t>
  </si>
  <si>
    <t>total gf</t>
  </si>
  <si>
    <t>In millions:</t>
  </si>
  <si>
    <t>2009–10</t>
  </si>
  <si>
    <t>2010–11</t>
  </si>
  <si>
    <t>2011–12</t>
  </si>
  <si>
    <t>CPEC FTE data is no longer available. Last year of data was 2008</t>
  </si>
  <si>
    <t>Nominal state $ per FTE student</t>
  </si>
  <si>
    <t>CCC FTE data: https://misweb.cccco.edu/mis/onlinestat/ftes.cfm (credit fte's)</t>
  </si>
  <si>
    <t>&lt;- UC and CSU targets for 2011-12, sources: http://budget.ucop.edu/documents/2011-12/Nov2010-UC%20Budget.pdf and http://www.csus.edu/sacstatenews/budgetcentral/documents/BudgetBook_Final.pdf and http://californiacommunitycolleges.cccco.edu/Portals/0/DocDownloads/2011BOGSlideshow/Sept%202011%20Presentation%20to%20the%20Board.pptx</t>
  </si>
  <si>
    <t>uc</t>
  </si>
  <si>
    <t>csu</t>
  </si>
  <si>
    <t>ccc</t>
  </si>
  <si>
    <t>page 36</t>
  </si>
  <si>
    <t>page 24</t>
  </si>
  <si>
    <t>CPEC annual growth forecasts from http://www.cpec.ca.gov/completereports/2010reports/10-08.pdf</t>
  </si>
  <si>
    <t>&lt;- applied to 2008 fte</t>
  </si>
  <si>
    <t>&lt;- number of students should be enrolled</t>
  </si>
  <si>
    <t>year</t>
  </si>
  <si>
    <t>difference between ideal and actual fte</t>
  </si>
  <si>
    <t>For higher ed % of state budget think beyond general fund</t>
  </si>
  <si>
    <t>gf + special funds</t>
  </si>
  <si>
    <t>gf + sf + fed</t>
  </si>
  <si>
    <t>Tuition &amp; fees in nom. $</t>
  </si>
  <si>
    <t>If trigger -&gt;</t>
  </si>
  <si>
    <t>Qualified students denied admission data comes from CPEC's "Ready or Not, Here They Come," http://www.cpec.ca.gov/completereports/2010reports/10-08.pdf</t>
  </si>
  <si>
    <t>Private 4-Year</t>
  </si>
  <si>
    <t>US Pub. 4-Year</t>
  </si>
  <si>
    <t>source table 4a of http://trends.collegeboard.org/college_pricing/</t>
  </si>
  <si>
    <t>US Pub. 2-Year</t>
  </si>
  <si>
    <t>2012-13</t>
  </si>
  <si>
    <t>conv. 2012 $s</t>
  </si>
  <si>
    <t>UC FTE data: http://www.ucop.edu/ucophome/uwnews/stat/</t>
  </si>
  <si>
    <t>CSU FTE data: http://www.calstate.edu/as/stat_reports/fall_summary.shtml</t>
  </si>
  <si>
    <t>State funding source: http://lao.ca.gov/laoapp/LAOMenus/lao_menu_economics.aspx</t>
  </si>
  <si>
    <t>UC (not Hastings)</t>
  </si>
  <si>
    <t>funding supplemental source: http://www.ebudget.ca.gov/StateAgencyBudgets/6013/agency.html</t>
  </si>
  <si>
    <t>Tuition &amp; fees in 2012 $</t>
  </si>
  <si>
    <t>State $ per FTE student in 2012 dollars</t>
  </si>
  <si>
    <t>funding supplemental source: http://lao.ca.gov/reports/2012/bud/spending_plan/spending-plan-091312.pdf</t>
  </si>
  <si>
    <t>&lt;- state targets for 2011-12 enrollment (were in 2012-13 but Gov. vetoed), lower (and therefore cheaper) than UC and CSU are targeting.</t>
  </si>
  <si>
    <t>2012-13 (actual)</t>
  </si>
  <si>
    <t>2000-01 (2012 dollars)</t>
  </si>
  <si>
    <t>Funds required for 2000-01 level of state support per student at 2000-01 fees (2012 dollars)</t>
  </si>
  <si>
    <t>Total CA HS Grads</t>
  </si>
  <si>
    <t>CA High School Graduates source: http://www.dof.ca.gov/research/demographic/reports/projections/k-12/view.php</t>
  </si>
  <si>
    <t>1/4 UC fte as % hs grads</t>
  </si>
  <si>
    <t>1/4 CSU fte as % hs grads</t>
  </si>
  <si>
    <t>u-grad 2.2%</t>
  </si>
  <si>
    <t>CPEC's ccc</t>
  </si>
  <si>
    <t>see column e</t>
  </si>
  <si>
    <t>* Return to aid fraction</t>
  </si>
  <si>
    <t>Fall 2012</t>
  </si>
  <si>
    <t>source: tax year 2008 table B-3 at http://www.ftb.ca.gov/aboutFTB/Tax_Statistics/2009.shtml</t>
  </si>
  <si>
    <t>Corporation line from table c-2</t>
  </si>
  <si>
    <t>source: tax year 2007 table B-3 at http://www.ftb.ca.gov/aboutFTB/Tax_Statistics/2008.shtml</t>
  </si>
  <si>
    <t>Personal income tax data for 2009 is now available, but the corporate tax data for 2009 is not available yet.</t>
  </si>
  <si>
    <t>inflation conversion factor from: http://oregonstate.edu/cla/polisci/sahr/sahr</t>
  </si>
  <si>
    <t>If Proposition 30 Fails:</t>
  </si>
  <si>
    <t>if prop 30 fails</t>
  </si>
  <si>
    <t>Table 1a.  Public Funding and Funding Shortfalls for California Public Higher Education</t>
  </si>
  <si>
    <t>Table 1b.  Public Funding and Funding Shortfalls for California Public Higher Education</t>
  </si>
  <si>
    <t>Table 2a. Additional Tuition and Fee Increases Needed to Restore 2000-01 Expenditure Levels per Currently Enrolled Student</t>
  </si>
  <si>
    <t>Table 2b. Additional Tuition and Fee Increases Needed to Restore 2000-01 Expenditure Levels per Currently Enrolled Student</t>
  </si>
  <si>
    <t>Fall 2012 If Proposition 30 Fails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</si>
</sst>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  <numFmt numFmtId="166" formatCode="&quot;$&quot;#,##0.00"/>
    <numFmt numFmtId="167" formatCode="#,##0_)"/>
    <numFmt numFmtId="168" formatCode="_)* #,###_);_)* \-#,###_);@_)"/>
    <numFmt numFmtId="169" formatCode="#,##0_);\-#,##0_);@_0"/>
    <numFmt numFmtId="170" formatCode="#,##0_);\-#,##0_);@_)"/>
    <numFmt numFmtId="171" formatCode="&quot;$&quot;#,##0.0_);[Red]\(&quot;$&quot;#,##0.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[$-409]dddd\,\ mmmm\ dd\,\ yyyy"/>
    <numFmt numFmtId="177" formatCode="[$-409]h:mm:ss\ AM/PM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  <numFmt numFmtId="184" formatCode="&quot;$&quot;#,##0.000"/>
    <numFmt numFmtId="185" formatCode="_(* #,##0.0_);_(* \(#,##0.0\);_(* &quot;-&quot;?_);_(@_)"/>
    <numFmt numFmtId="186" formatCode="_(* #,##0.000_);_(* \(#,##0.000\);_(* &quot;-&quot;???_);_(@_)"/>
    <numFmt numFmtId="187" formatCode="_(* #,##0.0000_);_(* \(#,##0.0000\);_(* &quot;-&quot;????_);_(@_)"/>
    <numFmt numFmtId="188" formatCode="&quot;$&quot;#,##0.0"/>
    <numFmt numFmtId="189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Times New Roman"/>
      <family val="1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8"/>
      <name val="Helvetica"/>
      <family val="2"/>
    </font>
    <font>
      <sz val="10"/>
      <name val="Helvetic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8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right" wrapText="1"/>
    </xf>
    <xf numFmtId="165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0" fontId="3" fillId="0" borderId="11" xfId="0" applyFont="1" applyBorder="1" applyAlignment="1">
      <alignment/>
    </xf>
    <xf numFmtId="0" fontId="2" fillId="32" borderId="10" xfId="0" applyFont="1" applyFill="1" applyBorder="1" applyAlignment="1">
      <alignment horizontal="center" wrapText="1"/>
    </xf>
    <xf numFmtId="3" fontId="2" fillId="32" borderId="10" xfId="0" applyNumberFormat="1" applyFont="1" applyFill="1" applyBorder="1" applyAlignment="1">
      <alignment horizontal="right" wrapText="1"/>
    </xf>
    <xf numFmtId="165" fontId="2" fillId="32" borderId="0" xfId="0" applyNumberFormat="1" applyFont="1" applyFill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6" fontId="3" fillId="0" borderId="0" xfId="0" applyNumberFormat="1" applyFont="1" applyBorder="1" applyAlignment="1">
      <alignment horizontal="right"/>
    </xf>
    <xf numFmtId="6" fontId="3" fillId="0" borderId="0" xfId="0" applyNumberFormat="1" applyFont="1" applyBorder="1" applyAlignment="1">
      <alignment horizontal="right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Border="1" applyAlignment="1">
      <alignment/>
    </xf>
    <xf numFmtId="167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7" fontId="6" fillId="33" borderId="0" xfId="0" applyNumberFormat="1" applyFont="1" applyFill="1" applyBorder="1" applyAlignment="1">
      <alignment horizontal="left"/>
    </xf>
    <xf numFmtId="167" fontId="6" fillId="33" borderId="14" xfId="0" applyNumberFormat="1" applyFont="1" applyFill="1" applyBorder="1" applyAlignment="1">
      <alignment horizontal="left"/>
    </xf>
    <xf numFmtId="167" fontId="6" fillId="33" borderId="14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167" fontId="6" fillId="33" borderId="12" xfId="0" applyNumberFormat="1" applyFont="1" applyFill="1" applyBorder="1" applyAlignment="1">
      <alignment/>
    </xf>
    <xf numFmtId="167" fontId="6" fillId="33" borderId="12" xfId="0" applyNumberFormat="1" applyFont="1" applyFill="1" applyBorder="1" applyAlignment="1">
      <alignment horizontal="left"/>
    </xf>
    <xf numFmtId="167" fontId="6" fillId="33" borderId="15" xfId="0" applyNumberFormat="1" applyFont="1" applyFill="1" applyBorder="1" applyAlignment="1">
      <alignment horizontal="left"/>
    </xf>
    <xf numFmtId="165" fontId="2" fillId="0" borderId="0" xfId="61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32" borderId="0" xfId="0" applyNumberFormat="1" applyFont="1" applyFill="1" applyBorder="1" applyAlignment="1">
      <alignment horizontal="right"/>
    </xf>
    <xf numFmtId="165" fontId="2" fillId="32" borderId="0" xfId="61" applyNumberFormat="1" applyFont="1" applyFill="1" applyBorder="1" applyAlignment="1">
      <alignment horizontal="right"/>
    </xf>
    <xf numFmtId="168" fontId="6" fillId="33" borderId="16" xfId="0" applyNumberFormat="1" applyFont="1" applyFill="1" applyBorder="1" applyAlignment="1">
      <alignment horizontal="right"/>
    </xf>
    <xf numFmtId="10" fontId="6" fillId="33" borderId="16" xfId="0" applyNumberFormat="1" applyFont="1" applyFill="1" applyBorder="1" applyAlignment="1">
      <alignment horizontal="right"/>
    </xf>
    <xf numFmtId="166" fontId="6" fillId="33" borderId="16" xfId="0" applyNumberFormat="1" applyFont="1" applyFill="1" applyBorder="1" applyAlignment="1">
      <alignment horizontal="right"/>
    </xf>
    <xf numFmtId="9" fontId="6" fillId="33" borderId="17" xfId="0" applyNumberFormat="1" applyFont="1" applyFill="1" applyBorder="1" applyAlignment="1">
      <alignment horizontal="right"/>
    </xf>
    <xf numFmtId="168" fontId="6" fillId="33" borderId="18" xfId="0" applyNumberFormat="1" applyFont="1" applyFill="1" applyBorder="1" applyAlignment="1">
      <alignment horizontal="right"/>
    </xf>
    <xf numFmtId="10" fontId="6" fillId="33" borderId="18" xfId="0" applyNumberFormat="1" applyFont="1" applyFill="1" applyBorder="1" applyAlignment="1">
      <alignment horizontal="right"/>
    </xf>
    <xf numFmtId="166" fontId="6" fillId="33" borderId="18" xfId="0" applyNumberFormat="1" applyFont="1" applyFill="1" applyBorder="1" applyAlignment="1">
      <alignment horizontal="right"/>
    </xf>
    <xf numFmtId="9" fontId="6" fillId="33" borderId="19" xfId="0" applyNumberFormat="1" applyFont="1" applyFill="1" applyBorder="1" applyAlignment="1">
      <alignment horizontal="right"/>
    </xf>
    <xf numFmtId="10" fontId="6" fillId="33" borderId="20" xfId="0" applyNumberFormat="1" applyFont="1" applyFill="1" applyBorder="1" applyAlignment="1">
      <alignment horizontal="right"/>
    </xf>
    <xf numFmtId="166" fontId="6" fillId="33" borderId="20" xfId="0" applyNumberFormat="1" applyFont="1" applyFill="1" applyBorder="1" applyAlignment="1">
      <alignment horizontal="right"/>
    </xf>
    <xf numFmtId="10" fontId="6" fillId="33" borderId="21" xfId="0" applyNumberFormat="1" applyFont="1" applyFill="1" applyBorder="1" applyAlignment="1">
      <alignment horizontal="right"/>
    </xf>
    <xf numFmtId="169" fontId="6" fillId="33" borderId="18" xfId="0" applyNumberFormat="1" applyFont="1" applyFill="1" applyBorder="1" applyAlignment="1">
      <alignment horizontal="right"/>
    </xf>
    <xf numFmtId="9" fontId="6" fillId="33" borderId="22" xfId="0" applyNumberFormat="1" applyFont="1" applyFill="1" applyBorder="1" applyAlignment="1">
      <alignment horizontal="right"/>
    </xf>
    <xf numFmtId="168" fontId="6" fillId="33" borderId="23" xfId="0" applyNumberFormat="1" applyFont="1" applyFill="1" applyBorder="1" applyAlignment="1">
      <alignment horizontal="right"/>
    </xf>
    <xf numFmtId="170" fontId="7" fillId="33" borderId="20" xfId="58" applyNumberFormat="1" applyFont="1" applyFill="1" applyBorder="1" applyAlignment="1">
      <alignment horizontal="right"/>
      <protection/>
    </xf>
    <xf numFmtId="167" fontId="6" fillId="33" borderId="12" xfId="0" applyNumberFormat="1" applyFont="1" applyFill="1" applyBorder="1" applyAlignment="1">
      <alignment horizontal="right"/>
    </xf>
    <xf numFmtId="167" fontId="6" fillId="33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2" fillId="0" borderId="10" xfId="0" applyFont="1" applyBorder="1" applyAlignment="1">
      <alignment wrapText="1"/>
    </xf>
    <xf numFmtId="6" fontId="3" fillId="0" borderId="0" xfId="0" applyNumberFormat="1" applyFont="1" applyFill="1" applyBorder="1" applyAlignment="1">
      <alignment horizontal="right"/>
    </xf>
    <xf numFmtId="6" fontId="3" fillId="0" borderId="26" xfId="0" applyNumberFormat="1" applyFont="1" applyFill="1" applyBorder="1" applyAlignment="1">
      <alignment/>
    </xf>
    <xf numFmtId="6" fontId="3" fillId="0" borderId="27" xfId="0" applyNumberFormat="1" applyFont="1" applyFill="1" applyBorder="1" applyAlignment="1">
      <alignment/>
    </xf>
    <xf numFmtId="6" fontId="3" fillId="0" borderId="28" xfId="0" applyNumberFormat="1" applyFont="1" applyFill="1" applyBorder="1" applyAlignment="1">
      <alignment/>
    </xf>
    <xf numFmtId="6" fontId="3" fillId="0" borderId="0" xfId="0" applyNumberFormat="1" applyFont="1" applyFill="1" applyBorder="1" applyAlignment="1">
      <alignment/>
    </xf>
    <xf numFmtId="6" fontId="3" fillId="0" borderId="12" xfId="0" applyNumberFormat="1" applyFont="1" applyFill="1" applyBorder="1" applyAlignment="1">
      <alignment/>
    </xf>
    <xf numFmtId="6" fontId="3" fillId="0" borderId="29" xfId="0" applyNumberFormat="1" applyFont="1" applyFill="1" applyBorder="1" applyAlignment="1">
      <alignment/>
    </xf>
    <xf numFmtId="6" fontId="3" fillId="0" borderId="12" xfId="0" applyNumberFormat="1" applyFon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6" fontId="3" fillId="0" borderId="31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33" xfId="0" applyFont="1" applyBorder="1" applyAlignment="1">
      <alignment horizontal="center" wrapText="1"/>
    </xf>
    <xf numFmtId="0" fontId="3" fillId="0" borderId="25" xfId="0" applyFont="1" applyBorder="1" applyAlignment="1">
      <alignment wrapText="1"/>
    </xf>
    <xf numFmtId="3" fontId="3" fillId="0" borderId="27" xfId="0" applyNumberFormat="1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6" fontId="3" fillId="0" borderId="26" xfId="0" applyNumberFormat="1" applyFont="1" applyBorder="1" applyAlignment="1">
      <alignment horizontal="right"/>
    </xf>
    <xf numFmtId="6" fontId="3" fillId="0" borderId="26" xfId="0" applyNumberFormat="1" applyFont="1" applyBorder="1" applyAlignment="1">
      <alignment horizontal="right" wrapText="1"/>
    </xf>
    <xf numFmtId="6" fontId="3" fillId="0" borderId="33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6" fontId="3" fillId="0" borderId="11" xfId="0" applyNumberFormat="1" applyFont="1" applyBorder="1" applyAlignment="1">
      <alignment horizontal="right" wrapText="1"/>
    </xf>
    <xf numFmtId="0" fontId="3" fillId="0" borderId="33" xfId="0" applyFont="1" applyBorder="1" applyAlignment="1">
      <alignment wrapText="1"/>
    </xf>
    <xf numFmtId="3" fontId="3" fillId="0" borderId="12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6" fontId="3" fillId="0" borderId="29" xfId="0" applyNumberFormat="1" applyFont="1" applyBorder="1" applyAlignment="1">
      <alignment horizontal="right"/>
    </xf>
    <xf numFmtId="6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4" fillId="0" borderId="34" xfId="0" applyFont="1" applyBorder="1" applyAlignment="1">
      <alignment wrapText="1"/>
    </xf>
    <xf numFmtId="6" fontId="3" fillId="0" borderId="35" xfId="0" applyNumberFormat="1" applyFont="1" applyBorder="1" applyAlignment="1">
      <alignment/>
    </xf>
    <xf numFmtId="0" fontId="3" fillId="0" borderId="35" xfId="0" applyFont="1" applyBorder="1" applyAlignment="1">
      <alignment/>
    </xf>
    <xf numFmtId="6" fontId="3" fillId="0" borderId="36" xfId="0" applyNumberFormat="1" applyFont="1" applyBorder="1" applyAlignment="1">
      <alignment horizontal="right"/>
    </xf>
    <xf numFmtId="6" fontId="4" fillId="33" borderId="36" xfId="0" applyNumberFormat="1" applyFont="1" applyFill="1" applyBorder="1" applyAlignment="1">
      <alignment horizontal="right"/>
    </xf>
    <xf numFmtId="0" fontId="3" fillId="0" borderId="37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38" xfId="0" applyFont="1" applyBorder="1" applyAlignment="1">
      <alignment/>
    </xf>
    <xf numFmtId="166" fontId="6" fillId="0" borderId="0" xfId="0" applyNumberFormat="1" applyFont="1" applyAlignment="1">
      <alignment/>
    </xf>
    <xf numFmtId="0" fontId="3" fillId="0" borderId="24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33" xfId="0" applyFont="1" applyBorder="1" applyAlignment="1">
      <alignment/>
    </xf>
    <xf numFmtId="0" fontId="3" fillId="0" borderId="28" xfId="0" applyFont="1" applyBorder="1" applyAlignment="1">
      <alignment/>
    </xf>
    <xf numFmtId="0" fontId="6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168" fontId="6" fillId="0" borderId="16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6" fontId="3" fillId="0" borderId="0" xfId="0" applyNumberFormat="1" applyFont="1" applyBorder="1" applyAlignment="1">
      <alignment horizontal="left"/>
    </xf>
    <xf numFmtId="0" fontId="2" fillId="0" borderId="37" xfId="0" applyFont="1" applyBorder="1" applyAlignment="1">
      <alignment/>
    </xf>
    <xf numFmtId="0" fontId="2" fillId="0" borderId="14" xfId="0" applyFont="1" applyBorder="1" applyAlignment="1">
      <alignment/>
    </xf>
    <xf numFmtId="3" fontId="2" fillId="12" borderId="10" xfId="0" applyNumberFormat="1" applyFont="1" applyFill="1" applyBorder="1" applyAlignment="1">
      <alignment horizontal="right" wrapText="1"/>
    </xf>
    <xf numFmtId="0" fontId="2" fillId="12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13" borderId="0" xfId="0" applyFont="1" applyFill="1" applyAlignment="1">
      <alignment/>
    </xf>
    <xf numFmtId="0" fontId="2" fillId="13" borderId="39" xfId="0" applyFont="1" applyFill="1" applyBorder="1" applyAlignment="1">
      <alignment/>
    </xf>
    <xf numFmtId="0" fontId="2" fillId="13" borderId="40" xfId="0" applyFont="1" applyFill="1" applyBorder="1" applyAlignment="1">
      <alignment/>
    </xf>
    <xf numFmtId="0" fontId="2" fillId="13" borderId="41" xfId="0" applyFont="1" applyFill="1" applyBorder="1" applyAlignment="1">
      <alignment/>
    </xf>
    <xf numFmtId="0" fontId="2" fillId="13" borderId="42" xfId="0" applyFont="1" applyFill="1" applyBorder="1" applyAlignment="1">
      <alignment/>
    </xf>
    <xf numFmtId="0" fontId="2" fillId="13" borderId="0" xfId="0" applyFont="1" applyFill="1" applyBorder="1" applyAlignment="1">
      <alignment/>
    </xf>
    <xf numFmtId="0" fontId="2" fillId="13" borderId="43" xfId="0" applyFont="1" applyFill="1" applyBorder="1" applyAlignment="1">
      <alignment/>
    </xf>
    <xf numFmtId="0" fontId="2" fillId="13" borderId="37" xfId="0" applyFont="1" applyFill="1" applyBorder="1" applyAlignment="1">
      <alignment/>
    </xf>
    <xf numFmtId="0" fontId="2" fillId="13" borderId="14" xfId="0" applyFont="1" applyFill="1" applyBorder="1" applyAlignment="1">
      <alignment/>
    </xf>
    <xf numFmtId="0" fontId="2" fillId="13" borderId="38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34" borderId="10" xfId="0" applyNumberFormat="1" applyFont="1" applyFill="1" applyBorder="1" applyAlignment="1">
      <alignment horizontal="right" wrapText="1"/>
    </xf>
    <xf numFmtId="175" fontId="2" fillId="0" borderId="0" xfId="42" applyNumberFormat="1" applyFont="1" applyAlignment="1">
      <alignment/>
    </xf>
    <xf numFmtId="175" fontId="2" fillId="34" borderId="0" xfId="42" applyNumberFormat="1" applyFont="1" applyFill="1" applyAlignment="1">
      <alignment/>
    </xf>
    <xf numFmtId="3" fontId="2" fillId="13" borderId="10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Alignment="1">
      <alignment/>
    </xf>
    <xf numFmtId="165" fontId="2" fillId="13" borderId="0" xfId="0" applyNumberFormat="1" applyFont="1" applyFill="1" applyBorder="1" applyAlignment="1">
      <alignment horizontal="right"/>
    </xf>
    <xf numFmtId="175" fontId="2" fillId="13" borderId="0" xfId="42" applyNumberFormat="1" applyFont="1" applyFill="1" applyAlignment="1">
      <alignment/>
    </xf>
    <xf numFmtId="175" fontId="2" fillId="0" borderId="0" xfId="0" applyNumberFormat="1" applyFont="1" applyAlignment="1">
      <alignment/>
    </xf>
    <xf numFmtId="0" fontId="0" fillId="0" borderId="0" xfId="0" applyFont="1" applyAlignment="1">
      <alignment/>
    </xf>
    <xf numFmtId="10" fontId="2" fillId="0" borderId="0" xfId="0" applyNumberFormat="1" applyFont="1" applyAlignment="1">
      <alignment/>
    </xf>
    <xf numFmtId="0" fontId="2" fillId="0" borderId="44" xfId="0" applyFont="1" applyBorder="1" applyAlignment="1">
      <alignment wrapText="1"/>
    </xf>
    <xf numFmtId="0" fontId="2" fillId="0" borderId="45" xfId="0" applyFont="1" applyBorder="1" applyAlignment="1">
      <alignment/>
    </xf>
    <xf numFmtId="165" fontId="2" fillId="35" borderId="0" xfId="61" applyNumberFormat="1" applyFont="1" applyFill="1" applyBorder="1" applyAlignment="1">
      <alignment horizontal="right"/>
    </xf>
    <xf numFmtId="165" fontId="2" fillId="35" borderId="0" xfId="0" applyNumberFormat="1" applyFont="1" applyFill="1" applyBorder="1" applyAlignment="1">
      <alignment horizontal="right"/>
    </xf>
    <xf numFmtId="165" fontId="2" fillId="35" borderId="0" xfId="0" applyNumberFormat="1" applyFont="1" applyFill="1" applyBorder="1" applyAlignment="1" quotePrefix="1">
      <alignment/>
    </xf>
    <xf numFmtId="165" fontId="2" fillId="35" borderId="0" xfId="0" applyNumberFormat="1" applyFont="1" applyFill="1" applyBorder="1" applyAlignment="1" quotePrefix="1">
      <alignment horizontal="right"/>
    </xf>
    <xf numFmtId="0" fontId="2" fillId="35" borderId="0" xfId="0" applyFont="1" applyFill="1" applyAlignment="1">
      <alignment/>
    </xf>
    <xf numFmtId="165" fontId="2" fillId="34" borderId="0" xfId="61" applyNumberFormat="1" applyFont="1" applyFill="1" applyBorder="1" applyAlignment="1">
      <alignment horizontal="right"/>
    </xf>
    <xf numFmtId="165" fontId="2" fillId="34" borderId="0" xfId="0" applyNumberFormat="1" applyFont="1" applyFill="1" applyBorder="1" applyAlignment="1">
      <alignment horizontal="right"/>
    </xf>
    <xf numFmtId="164" fontId="9" fillId="0" borderId="46" xfId="0" applyNumberFormat="1" applyFont="1" applyBorder="1" applyAlignment="1">
      <alignment horizontal="center"/>
    </xf>
    <xf numFmtId="164" fontId="9" fillId="0" borderId="47" xfId="0" applyNumberFormat="1" applyFont="1" applyBorder="1" applyAlignment="1">
      <alignment horizontal="center"/>
    </xf>
    <xf numFmtId="164" fontId="10" fillId="0" borderId="46" xfId="0" applyNumberFormat="1" applyFont="1" applyBorder="1" applyAlignment="1">
      <alignment horizontal="center"/>
    </xf>
    <xf numFmtId="0" fontId="2" fillId="36" borderId="0" xfId="0" applyFont="1" applyFill="1" applyAlignment="1">
      <alignment/>
    </xf>
    <xf numFmtId="3" fontId="2" fillId="37" borderId="10" xfId="0" applyNumberFormat="1" applyFont="1" applyFill="1" applyBorder="1" applyAlignment="1">
      <alignment horizontal="right" wrapText="1"/>
    </xf>
    <xf numFmtId="165" fontId="2" fillId="37" borderId="0" xfId="0" applyNumberFormat="1" applyFont="1" applyFill="1" applyBorder="1" applyAlignment="1">
      <alignment horizontal="right"/>
    </xf>
    <xf numFmtId="0" fontId="2" fillId="37" borderId="0" xfId="0" applyFont="1" applyFill="1" applyAlignment="1">
      <alignment/>
    </xf>
    <xf numFmtId="0" fontId="2" fillId="6" borderId="0" xfId="0" applyFont="1" applyFill="1" applyAlignment="1">
      <alignment/>
    </xf>
    <xf numFmtId="175" fontId="2" fillId="37" borderId="0" xfId="42" applyNumberFormat="1" applyFont="1" applyFill="1" applyAlignment="1">
      <alignment/>
    </xf>
    <xf numFmtId="175" fontId="2" fillId="36" borderId="0" xfId="42" applyNumberFormat="1" applyFont="1" applyFill="1" applyAlignment="1">
      <alignment/>
    </xf>
    <xf numFmtId="175" fontId="2" fillId="38" borderId="0" xfId="42" applyNumberFormat="1" applyFont="1" applyFill="1" applyAlignment="1">
      <alignment/>
    </xf>
    <xf numFmtId="0" fontId="2" fillId="38" borderId="0" xfId="0" applyFont="1" applyFill="1" applyAlignment="1">
      <alignment/>
    </xf>
    <xf numFmtId="0" fontId="2" fillId="39" borderId="0" xfId="0" applyFont="1" applyFill="1" applyAlignment="1">
      <alignment/>
    </xf>
    <xf numFmtId="175" fontId="2" fillId="0" borderId="0" xfId="42" applyNumberFormat="1" applyFont="1" applyFill="1" applyAlignment="1">
      <alignment/>
    </xf>
    <xf numFmtId="3" fontId="11" fillId="0" borderId="0" xfId="0" applyNumberFormat="1" applyFont="1" applyAlignment="1">
      <alignment/>
    </xf>
    <xf numFmtId="3" fontId="11" fillId="12" borderId="0" xfId="0" applyNumberFormat="1" applyFont="1" applyFill="1" applyAlignment="1">
      <alignment/>
    </xf>
    <xf numFmtId="6" fontId="2" fillId="0" borderId="0" xfId="0" applyNumberFormat="1" applyFont="1" applyFill="1" applyAlignment="1">
      <alignment/>
    </xf>
    <xf numFmtId="175" fontId="2" fillId="13" borderId="0" xfId="0" applyNumberFormat="1" applyFont="1" applyFill="1" applyAlignment="1">
      <alignment/>
    </xf>
    <xf numFmtId="188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175" fontId="2" fillId="40" borderId="0" xfId="42" applyNumberFormat="1" applyFont="1" applyFill="1" applyAlignment="1">
      <alignment/>
    </xf>
    <xf numFmtId="0" fontId="2" fillId="40" borderId="0" xfId="0" applyFont="1" applyFill="1" applyAlignment="1">
      <alignment/>
    </xf>
    <xf numFmtId="175" fontId="2" fillId="6" borderId="0" xfId="42" applyNumberFormat="1" applyFont="1" applyFill="1" applyAlignment="1">
      <alignment/>
    </xf>
    <xf numFmtId="10" fontId="11" fillId="0" borderId="0" xfId="61" applyNumberFormat="1" applyFont="1" applyAlignment="1">
      <alignment/>
    </xf>
    <xf numFmtId="3" fontId="2" fillId="33" borderId="48" xfId="61" applyNumberFormat="1" applyFont="1" applyFill="1" applyBorder="1" applyAlignment="1">
      <alignment horizontal="center" wrapText="1"/>
    </xf>
    <xf numFmtId="3" fontId="2" fillId="33" borderId="18" xfId="61" applyNumberFormat="1" applyFont="1" applyFill="1" applyBorder="1" applyAlignment="1">
      <alignment horizontal="center" wrapText="1"/>
    </xf>
    <xf numFmtId="0" fontId="2" fillId="41" borderId="48" xfId="0" applyFont="1" applyFill="1" applyBorder="1" applyAlignment="1">
      <alignment horizontal="center" wrapText="1"/>
    </xf>
    <xf numFmtId="0" fontId="2" fillId="41" borderId="16" xfId="0" applyFont="1" applyFill="1" applyBorder="1" applyAlignment="1">
      <alignment horizontal="center" wrapText="1"/>
    </xf>
    <xf numFmtId="0" fontId="2" fillId="41" borderId="18" xfId="0" applyFont="1" applyFill="1" applyBorder="1" applyAlignment="1">
      <alignment horizontal="center" wrapText="1"/>
    </xf>
    <xf numFmtId="3" fontId="2" fillId="33" borderId="48" xfId="61" applyNumberFormat="1" applyFont="1" applyFill="1" applyBorder="1" applyAlignment="1">
      <alignment horizontal="center" wrapText="1"/>
    </xf>
    <xf numFmtId="3" fontId="2" fillId="33" borderId="18" xfId="61" applyNumberFormat="1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0" borderId="52" xfId="0" applyFont="1" applyBorder="1" applyAlignment="1">
      <alignment wrapText="1"/>
    </xf>
    <xf numFmtId="0" fontId="2" fillId="0" borderId="53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55" xfId="0" applyFont="1" applyBorder="1" applyAlignment="1">
      <alignment wrapText="1"/>
    </xf>
    <xf numFmtId="0" fontId="2" fillId="0" borderId="56" xfId="0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2" fillId="0" borderId="59" xfId="0" applyFont="1" applyBorder="1" applyAlignment="1">
      <alignment wrapText="1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60" xfId="0" applyFont="1" applyBorder="1" applyAlignment="1">
      <alignment wrapText="1"/>
    </xf>
    <xf numFmtId="0" fontId="2" fillId="0" borderId="61" xfId="0" applyFont="1" applyBorder="1" applyAlignment="1">
      <alignment wrapText="1"/>
    </xf>
    <xf numFmtId="0" fontId="2" fillId="0" borderId="4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6" fillId="0" borderId="3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3" fillId="0" borderId="24" xfId="0" applyFont="1" applyBorder="1" applyAlignment="1">
      <alignment horizontal="center" wrapText="1"/>
    </xf>
    <xf numFmtId="0" fontId="6" fillId="0" borderId="3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7" fillId="33" borderId="64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7" fillId="33" borderId="67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3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33" borderId="68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0" fontId="0" fillId="0" borderId="12" xfId="0" applyBorder="1" applyAlignment="1">
      <alignment/>
    </xf>
    <xf numFmtId="175" fontId="2" fillId="0" borderId="0" xfId="0" applyNumberFormat="1" applyFont="1" applyFill="1" applyAlignment="1">
      <alignment/>
    </xf>
    <xf numFmtId="0" fontId="3" fillId="0" borderId="62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gic re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Tuition and Fees, 2012 dollars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085"/>
          <c:w val="0.971"/>
          <c:h val="0.79475"/>
        </c:manualLayout>
      </c:layout>
      <c:lineChart>
        <c:grouping val="standard"/>
        <c:varyColors val="0"/>
        <c:ser>
          <c:idx val="1"/>
          <c:order val="0"/>
          <c:tx>
            <c:v>UC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'Raw Data'!$A$20:$A$31</c:f>
              <c:strCache/>
            </c:strRef>
          </c:cat>
          <c:val>
            <c:numRef>
              <c:f>'Raw Data'!$W$20:$W$31</c:f>
              <c:numCache/>
            </c:numRef>
          </c:val>
          <c:smooth val="0"/>
        </c:ser>
        <c:ser>
          <c:idx val="2"/>
          <c:order val="1"/>
          <c:tx>
            <c:v>CSU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'Raw Data'!$A$20:$A$31</c:f>
              <c:strCache/>
            </c:strRef>
          </c:cat>
          <c:val>
            <c:numRef>
              <c:f>'Raw Data'!$X$20:$X$31</c:f>
              <c:numCache/>
            </c:numRef>
          </c:val>
          <c:smooth val="0"/>
        </c:ser>
        <c:ser>
          <c:idx val="0"/>
          <c:order val="2"/>
          <c:tx>
            <c:v>US Public 4-yr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'Raw Data'!$A$20:$A$31</c:f>
              <c:strCache/>
            </c:strRef>
          </c:cat>
          <c:val>
            <c:numRef>
              <c:f>'Raw Data'!$U$20:$U$31</c:f>
              <c:numCache/>
            </c:numRef>
          </c:val>
          <c:smooth val="0"/>
        </c:ser>
        <c:marker val="1"/>
        <c:axId val="17876852"/>
        <c:axId val="26673941"/>
      </c:lineChart>
      <c:catAx>
        <c:axId val="17876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73941"/>
        <c:crosses val="autoZero"/>
        <c:auto val="1"/>
        <c:lblOffset val="100"/>
        <c:tickLblSkip val="1"/>
        <c:noMultiLvlLbl val="0"/>
      </c:catAx>
      <c:valAx>
        <c:axId val="266739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876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0575"/>
          <c:w val="0.5445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40</xdr:row>
      <xdr:rowOff>66675</xdr:rowOff>
    </xdr:from>
    <xdr:to>
      <xdr:col>26</xdr:col>
      <xdr:colOff>390525</xdr:colOff>
      <xdr:row>60</xdr:row>
      <xdr:rowOff>76200</xdr:rowOff>
    </xdr:to>
    <xdr:graphicFrame>
      <xdr:nvGraphicFramePr>
        <xdr:cNvPr id="1" name="Chart 1"/>
        <xdr:cNvGraphicFramePr/>
      </xdr:nvGraphicFramePr>
      <xdr:xfrm>
        <a:off x="7839075" y="5781675"/>
        <a:ext cx="44767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"/>
  <sheetViews>
    <sheetView zoomScalePageLayoutView="0" workbookViewId="0" topLeftCell="A1">
      <selection activeCell="A20" sqref="A20:A32"/>
    </sheetView>
  </sheetViews>
  <sheetFormatPr defaultColWidth="9.140625" defaultRowHeight="12.75"/>
  <cols>
    <col min="1" max="1" width="6.7109375" style="1" customWidth="1"/>
    <col min="2" max="2" width="9.57421875" style="1" customWidth="1"/>
    <col min="3" max="6" width="8.7109375" style="1" customWidth="1"/>
    <col min="7" max="8" width="7.8515625" style="1" customWidth="1"/>
    <col min="9" max="9" width="9.00390625" style="1" customWidth="1"/>
    <col min="10" max="10" width="6.57421875" style="1" customWidth="1"/>
    <col min="11" max="12" width="5.7109375" style="1" customWidth="1"/>
    <col min="13" max="13" width="4.8515625" style="5" customWidth="1"/>
    <col min="14" max="14" width="6.57421875" style="5" customWidth="1"/>
    <col min="15" max="16" width="5.7109375" style="5" customWidth="1"/>
    <col min="17" max="17" width="6.28125" style="5" customWidth="1"/>
    <col min="18" max="18" width="5.7109375" style="5" customWidth="1"/>
    <col min="19" max="19" width="5.57421875" style="5" customWidth="1"/>
    <col min="20" max="20" width="6.28125" style="5" customWidth="1"/>
    <col min="21" max="22" width="5.57421875" style="5" customWidth="1"/>
    <col min="23" max="23" width="6.421875" style="5" customWidth="1"/>
    <col min="24" max="24" width="5.7109375" style="5" customWidth="1"/>
    <col min="25" max="25" width="5.8515625" style="5" customWidth="1"/>
    <col min="26" max="28" width="9.140625" style="5" customWidth="1"/>
    <col min="29" max="29" width="7.421875" style="5" customWidth="1"/>
    <col min="30" max="30" width="9.421875" style="5" customWidth="1"/>
    <col min="31" max="32" width="9.140625" style="5" customWidth="1"/>
    <col min="33" max="16384" width="9.140625" style="1" customWidth="1"/>
  </cols>
  <sheetData>
    <row r="1" spans="1:31" ht="11.25" customHeight="1">
      <c r="A1" s="187" t="s">
        <v>0</v>
      </c>
      <c r="B1" s="198" t="s">
        <v>30</v>
      </c>
      <c r="C1" s="201" t="s">
        <v>68</v>
      </c>
      <c r="D1" s="202"/>
      <c r="E1" s="202"/>
      <c r="F1" s="202"/>
      <c r="G1" s="190" t="s">
        <v>31</v>
      </c>
      <c r="H1" s="191"/>
      <c r="I1" s="191"/>
      <c r="J1" s="194" t="s">
        <v>81</v>
      </c>
      <c r="K1" s="191"/>
      <c r="L1" s="195"/>
      <c r="M1" s="179" t="s">
        <v>105</v>
      </c>
      <c r="N1" s="184" t="s">
        <v>97</v>
      </c>
      <c r="O1" s="185"/>
      <c r="P1" s="185"/>
      <c r="Q1" s="185"/>
      <c r="R1" s="185"/>
      <c r="S1" s="186"/>
      <c r="T1" s="184" t="s">
        <v>111</v>
      </c>
      <c r="U1" s="185"/>
      <c r="V1" s="185"/>
      <c r="W1" s="185"/>
      <c r="X1" s="185"/>
      <c r="Y1" s="186"/>
      <c r="Z1" s="190" t="s">
        <v>112</v>
      </c>
      <c r="AA1" s="191"/>
      <c r="AB1" s="195"/>
      <c r="AC1" s="203" t="s">
        <v>118</v>
      </c>
      <c r="AD1" s="204" t="s">
        <v>120</v>
      </c>
      <c r="AE1" s="204" t="s">
        <v>121</v>
      </c>
    </row>
    <row r="2" spans="1:31" ht="11.25" customHeight="1">
      <c r="A2" s="188"/>
      <c r="B2" s="199"/>
      <c r="C2" s="196"/>
      <c r="D2" s="193"/>
      <c r="E2" s="193"/>
      <c r="F2" s="193"/>
      <c r="G2" s="192"/>
      <c r="H2" s="193"/>
      <c r="I2" s="193"/>
      <c r="J2" s="196"/>
      <c r="K2" s="193"/>
      <c r="L2" s="197"/>
      <c r="M2" s="180"/>
      <c r="N2" s="182" t="s">
        <v>100</v>
      </c>
      <c r="O2" s="182" t="s">
        <v>101</v>
      </c>
      <c r="P2" s="182" t="s">
        <v>103</v>
      </c>
      <c r="Q2" s="177" t="s">
        <v>1</v>
      </c>
      <c r="R2" s="177" t="s">
        <v>2</v>
      </c>
      <c r="S2" s="177" t="s">
        <v>3</v>
      </c>
      <c r="T2" s="182" t="s">
        <v>100</v>
      </c>
      <c r="U2" s="182" t="s">
        <v>101</v>
      </c>
      <c r="V2" s="182" t="s">
        <v>103</v>
      </c>
      <c r="W2" s="177" t="s">
        <v>1</v>
      </c>
      <c r="X2" s="177" t="s">
        <v>2</v>
      </c>
      <c r="Y2" s="177" t="s">
        <v>3</v>
      </c>
      <c r="Z2" s="192"/>
      <c r="AA2" s="193"/>
      <c r="AB2" s="197"/>
      <c r="AC2" s="203"/>
      <c r="AD2" s="204"/>
      <c r="AE2" s="204"/>
    </row>
    <row r="3" spans="1:31" ht="11.25" customHeight="1">
      <c r="A3" s="189"/>
      <c r="B3" s="200"/>
      <c r="C3" s="64" t="s">
        <v>109</v>
      </c>
      <c r="D3" s="64" t="s">
        <v>2</v>
      </c>
      <c r="E3" s="64" t="s">
        <v>3</v>
      </c>
      <c r="F3" s="144" t="s">
        <v>69</v>
      </c>
      <c r="G3" s="118" t="s">
        <v>1</v>
      </c>
      <c r="H3" s="119" t="s">
        <v>2</v>
      </c>
      <c r="I3" s="145" t="s">
        <v>3</v>
      </c>
      <c r="J3" s="119" t="s">
        <v>1</v>
      </c>
      <c r="K3" s="119" t="s">
        <v>2</v>
      </c>
      <c r="L3" s="145" t="s">
        <v>3</v>
      </c>
      <c r="M3" s="181"/>
      <c r="N3" s="183"/>
      <c r="O3" s="183"/>
      <c r="P3" s="183"/>
      <c r="Q3" s="178"/>
      <c r="R3" s="178"/>
      <c r="S3" s="178"/>
      <c r="T3" s="183"/>
      <c r="U3" s="183"/>
      <c r="V3" s="183"/>
      <c r="W3" s="178"/>
      <c r="X3" s="178"/>
      <c r="Y3" s="178"/>
      <c r="Z3" s="118" t="s">
        <v>1</v>
      </c>
      <c r="AA3" s="119" t="s">
        <v>2</v>
      </c>
      <c r="AB3" s="145" t="s">
        <v>3</v>
      </c>
      <c r="AC3" s="203"/>
      <c r="AD3" s="204"/>
      <c r="AE3" s="204"/>
    </row>
    <row r="4" spans="1:30" ht="11.25">
      <c r="A4" s="2" t="s">
        <v>4</v>
      </c>
      <c r="B4" s="3">
        <v>25714480</v>
      </c>
      <c r="C4" s="120">
        <v>1457144</v>
      </c>
      <c r="D4" s="120">
        <v>1398201</v>
      </c>
      <c r="E4" s="3">
        <v>1134736</v>
      </c>
      <c r="F4" s="3">
        <f aca="true" t="shared" si="0" ref="F4:F33">SUM(C4:E4)</f>
        <v>3990081</v>
      </c>
      <c r="G4" s="59"/>
      <c r="H4" s="59"/>
      <c r="I4" s="59"/>
      <c r="J4" s="59"/>
      <c r="K4" s="59"/>
      <c r="L4" s="59"/>
      <c r="M4" s="153">
        <v>0.453</v>
      </c>
      <c r="N4" s="146">
        <v>5556</v>
      </c>
      <c r="O4" s="146">
        <v>1228</v>
      </c>
      <c r="P4" s="146">
        <v>584</v>
      </c>
      <c r="Q4" s="38">
        <v>1324</v>
      </c>
      <c r="R4" s="38">
        <v>658</v>
      </c>
      <c r="S4" s="38">
        <v>100</v>
      </c>
      <c r="T4" s="37">
        <f aca="true" t="shared" si="1" ref="T4:T30">N4/M4</f>
        <v>12264.900662251655</v>
      </c>
      <c r="U4" s="38">
        <f aca="true" t="shared" si="2" ref="U4:U30">O4/M4</f>
        <v>2710.8167770419427</v>
      </c>
      <c r="V4" s="38">
        <f aca="true" t="shared" si="3" ref="V4:V30">P4/M4</f>
        <v>1289.1832229580573</v>
      </c>
      <c r="W4" s="37">
        <f aca="true" t="shared" si="4" ref="W4:W32">Q4/M4</f>
        <v>2922.737306843267</v>
      </c>
      <c r="X4" s="37">
        <f aca="true" t="shared" si="5" ref="X4:X32">R4/M4</f>
        <v>1452.5386313465783</v>
      </c>
      <c r="Y4" s="37">
        <f aca="true" t="shared" si="6" ref="Y4:Y32">S4/M4</f>
        <v>220.7505518763797</v>
      </c>
      <c r="AC4" s="175">
        <v>225448</v>
      </c>
      <c r="AD4" s="167"/>
    </row>
    <row r="5" spans="1:30" ht="11.25">
      <c r="A5" s="2" t="s">
        <v>5</v>
      </c>
      <c r="B5" s="3">
        <v>28774606</v>
      </c>
      <c r="C5" s="120">
        <v>1641741</v>
      </c>
      <c r="D5" s="120">
        <v>1528938</v>
      </c>
      <c r="E5" s="3">
        <v>1195461</v>
      </c>
      <c r="F5" s="3">
        <f t="shared" si="0"/>
        <v>4366140</v>
      </c>
      <c r="G5" s="59"/>
      <c r="H5" s="59"/>
      <c r="I5" s="59"/>
      <c r="J5" s="59"/>
      <c r="K5" s="59"/>
      <c r="L5" s="59"/>
      <c r="M5" s="153">
        <v>0.469</v>
      </c>
      <c r="N5" s="146">
        <v>6121</v>
      </c>
      <c r="O5" s="146">
        <v>1318</v>
      </c>
      <c r="P5" s="146">
        <v>641</v>
      </c>
      <c r="Q5" s="38">
        <v>1326</v>
      </c>
      <c r="R5" s="38">
        <v>666</v>
      </c>
      <c r="S5" s="38">
        <v>100</v>
      </c>
      <c r="T5" s="37">
        <f t="shared" si="1"/>
        <v>13051.172707889127</v>
      </c>
      <c r="U5" s="38">
        <f t="shared" si="2"/>
        <v>2810.2345415778254</v>
      </c>
      <c r="V5" s="38">
        <f t="shared" si="3"/>
        <v>1366.7377398720682</v>
      </c>
      <c r="W5" s="37">
        <f t="shared" si="4"/>
        <v>2827.2921108742007</v>
      </c>
      <c r="X5" s="37">
        <f t="shared" si="5"/>
        <v>1420.042643923241</v>
      </c>
      <c r="Y5" s="37">
        <f t="shared" si="6"/>
        <v>213.21961620469085</v>
      </c>
      <c r="AC5" s="175">
        <v>229026</v>
      </c>
      <c r="AD5" s="167"/>
    </row>
    <row r="6" spans="1:30" ht="11.25">
      <c r="A6" s="2" t="s">
        <v>6</v>
      </c>
      <c r="B6" s="3">
        <v>31454836</v>
      </c>
      <c r="C6" s="120">
        <v>1788304</v>
      </c>
      <c r="D6" s="120">
        <v>1596490</v>
      </c>
      <c r="E6" s="3">
        <v>1244484</v>
      </c>
      <c r="F6" s="3">
        <f t="shared" si="0"/>
        <v>4629278</v>
      </c>
      <c r="G6" s="59"/>
      <c r="I6" s="59"/>
      <c r="J6" s="59"/>
      <c r="K6" s="59"/>
      <c r="L6" s="59"/>
      <c r="M6" s="153">
        <v>0.478</v>
      </c>
      <c r="N6" s="146">
        <v>6658</v>
      </c>
      <c r="O6" s="146">
        <v>1414</v>
      </c>
      <c r="P6" s="146">
        <v>660</v>
      </c>
      <c r="Q6" s="38">
        <v>1345</v>
      </c>
      <c r="R6" s="38">
        <v>680</v>
      </c>
      <c r="S6" s="38">
        <v>100</v>
      </c>
      <c r="T6" s="37">
        <f t="shared" si="1"/>
        <v>13928.87029288703</v>
      </c>
      <c r="U6" s="38">
        <f t="shared" si="2"/>
        <v>2958.1589958158997</v>
      </c>
      <c r="V6" s="38">
        <f t="shared" si="3"/>
        <v>1380.753138075314</v>
      </c>
      <c r="W6" s="37">
        <f t="shared" si="4"/>
        <v>2813.807531380753</v>
      </c>
      <c r="X6" s="37">
        <f t="shared" si="5"/>
        <v>1422.5941422594142</v>
      </c>
      <c r="Y6" s="37">
        <f t="shared" si="6"/>
        <v>209.2050209205021</v>
      </c>
      <c r="AC6" s="175">
        <v>237414</v>
      </c>
      <c r="AD6" s="167"/>
    </row>
    <row r="7" spans="1:30" ht="11.25">
      <c r="A7" s="2" t="s">
        <v>7</v>
      </c>
      <c r="B7" s="3">
        <v>33269118</v>
      </c>
      <c r="C7" s="120">
        <v>1888872</v>
      </c>
      <c r="D7" s="120">
        <v>1714998</v>
      </c>
      <c r="E7" s="3">
        <v>1329716</v>
      </c>
      <c r="F7" s="3">
        <f t="shared" si="0"/>
        <v>4933586</v>
      </c>
      <c r="G7" s="59"/>
      <c r="H7" s="59"/>
      <c r="I7" s="59"/>
      <c r="J7" s="59"/>
      <c r="K7" s="59"/>
      <c r="L7" s="59"/>
      <c r="M7" s="153">
        <v>0.495</v>
      </c>
      <c r="N7" s="147">
        <v>7048</v>
      </c>
      <c r="O7" s="147">
        <v>1485</v>
      </c>
      <c r="P7" s="147">
        <v>739</v>
      </c>
      <c r="Q7" s="38">
        <v>1492</v>
      </c>
      <c r="R7" s="38">
        <v>754</v>
      </c>
      <c r="S7" s="38">
        <v>100</v>
      </c>
      <c r="T7" s="37">
        <f t="shared" si="1"/>
        <v>14238.38383838384</v>
      </c>
      <c r="U7" s="38">
        <f t="shared" si="2"/>
        <v>3000</v>
      </c>
      <c r="V7" s="38">
        <f t="shared" si="3"/>
        <v>1492.9292929292928</v>
      </c>
      <c r="W7" s="37">
        <f t="shared" si="4"/>
        <v>3014.1414141414143</v>
      </c>
      <c r="X7" s="37">
        <f t="shared" si="5"/>
        <v>1523.2323232323233</v>
      </c>
      <c r="Y7" s="37">
        <f t="shared" si="6"/>
        <v>202.02020202020202</v>
      </c>
      <c r="AC7" s="175">
        <v>249518</v>
      </c>
      <c r="AD7" s="167"/>
    </row>
    <row r="8" spans="1:30" ht="11.25">
      <c r="A8" s="2" t="s">
        <v>8</v>
      </c>
      <c r="B8" s="3">
        <v>36174919</v>
      </c>
      <c r="C8" s="120">
        <v>1970047</v>
      </c>
      <c r="D8" s="120">
        <v>1793865</v>
      </c>
      <c r="E8" s="3">
        <v>1469115</v>
      </c>
      <c r="F8" s="3">
        <f t="shared" si="0"/>
        <v>5233027</v>
      </c>
      <c r="G8" s="59"/>
      <c r="H8" s="59"/>
      <c r="I8" s="59"/>
      <c r="J8" s="59"/>
      <c r="K8" s="59"/>
      <c r="L8" s="59"/>
      <c r="M8" s="154">
        <v>0.516</v>
      </c>
      <c r="N8" s="147">
        <v>8004</v>
      </c>
      <c r="O8" s="147">
        <v>1578</v>
      </c>
      <c r="P8" s="147">
        <v>799</v>
      </c>
      <c r="Q8" s="38">
        <v>1554</v>
      </c>
      <c r="R8" s="38">
        <v>815</v>
      </c>
      <c r="S8" s="38">
        <v>100</v>
      </c>
      <c r="T8" s="37">
        <f t="shared" si="1"/>
        <v>15511.627906976744</v>
      </c>
      <c r="U8" s="38">
        <f t="shared" si="2"/>
        <v>3058.139534883721</v>
      </c>
      <c r="V8" s="38">
        <f t="shared" si="3"/>
        <v>1548.4496124031007</v>
      </c>
      <c r="W8" s="37">
        <f t="shared" si="4"/>
        <v>3011.6279069767443</v>
      </c>
      <c r="X8" s="37">
        <f t="shared" si="5"/>
        <v>1579.4573643410852</v>
      </c>
      <c r="Y8" s="37">
        <f t="shared" si="6"/>
        <v>193.7984496124031</v>
      </c>
      <c r="AC8" s="175">
        <v>244629</v>
      </c>
      <c r="AD8" s="167"/>
    </row>
    <row r="9" spans="1:30" ht="11.25">
      <c r="A9" s="2" t="s">
        <v>9</v>
      </c>
      <c r="B9" s="3">
        <v>39406236</v>
      </c>
      <c r="C9" s="120">
        <v>2076662</v>
      </c>
      <c r="D9" s="120">
        <v>1631540</v>
      </c>
      <c r="E9" s="3">
        <v>1554615</v>
      </c>
      <c r="F9" s="3">
        <f t="shared" si="0"/>
        <v>5262817</v>
      </c>
      <c r="G9" s="59"/>
      <c r="H9" s="59"/>
      <c r="I9" s="59"/>
      <c r="J9" s="59"/>
      <c r="K9" s="59"/>
      <c r="L9" s="59"/>
      <c r="M9" s="153">
        <v>0.541</v>
      </c>
      <c r="N9" s="147">
        <v>8663</v>
      </c>
      <c r="O9" s="147">
        <v>1696</v>
      </c>
      <c r="P9" s="147">
        <v>841</v>
      </c>
      <c r="Q9" s="38">
        <v>1634</v>
      </c>
      <c r="R9" s="38">
        <v>839</v>
      </c>
      <c r="S9" s="38">
        <v>100</v>
      </c>
      <c r="T9" s="37">
        <f t="shared" si="1"/>
        <v>16012.939001848428</v>
      </c>
      <c r="U9" s="38">
        <f t="shared" si="2"/>
        <v>3134.9353049907577</v>
      </c>
      <c r="V9" s="38">
        <f t="shared" si="3"/>
        <v>1554.52865064695</v>
      </c>
      <c r="W9" s="37">
        <f t="shared" si="4"/>
        <v>3020.332717190388</v>
      </c>
      <c r="X9" s="37">
        <f t="shared" si="5"/>
        <v>1550.8317929759703</v>
      </c>
      <c r="Y9" s="37">
        <f t="shared" si="6"/>
        <v>184.84288354898334</v>
      </c>
      <c r="AC9" s="175">
        <v>236291</v>
      </c>
      <c r="AD9" s="167"/>
    </row>
    <row r="10" spans="1:30" ht="11.25">
      <c r="A10" s="2" t="s">
        <v>10</v>
      </c>
      <c r="B10" s="3">
        <v>40071261</v>
      </c>
      <c r="C10" s="120">
        <v>2135733</v>
      </c>
      <c r="D10" s="120">
        <v>1653400</v>
      </c>
      <c r="E10" s="3">
        <v>1734871</v>
      </c>
      <c r="F10" s="3">
        <f t="shared" si="0"/>
        <v>5524004</v>
      </c>
      <c r="M10" s="153">
        <v>0.57</v>
      </c>
      <c r="N10" s="147">
        <v>9340</v>
      </c>
      <c r="O10" s="147">
        <v>1908</v>
      </c>
      <c r="P10" s="147">
        <v>906</v>
      </c>
      <c r="Q10" s="38">
        <v>1820</v>
      </c>
      <c r="R10" s="38">
        <v>920</v>
      </c>
      <c r="S10" s="38">
        <v>100</v>
      </c>
      <c r="T10" s="37">
        <f t="shared" si="1"/>
        <v>16385.964912280702</v>
      </c>
      <c r="U10" s="38">
        <f t="shared" si="2"/>
        <v>3347.3684210526317</v>
      </c>
      <c r="V10" s="38">
        <f t="shared" si="3"/>
        <v>1589.4736842105265</v>
      </c>
      <c r="W10" s="37">
        <f t="shared" si="4"/>
        <v>3192.982456140351</v>
      </c>
      <c r="X10" s="37">
        <f t="shared" si="5"/>
        <v>1614.0350877192984</v>
      </c>
      <c r="Y10" s="37">
        <f t="shared" si="6"/>
        <v>175.43859649122808</v>
      </c>
      <c r="AC10" s="175">
        <v>234164</v>
      </c>
      <c r="AD10" s="167"/>
    </row>
    <row r="11" spans="1:30" ht="11.25">
      <c r="A11" s="2" t="s">
        <v>11</v>
      </c>
      <c r="B11" s="3">
        <v>43303359</v>
      </c>
      <c r="C11" s="120">
        <v>2105560</v>
      </c>
      <c r="D11" s="120">
        <v>1634367</v>
      </c>
      <c r="E11" s="3">
        <v>1696986</v>
      </c>
      <c r="F11" s="3">
        <f t="shared" si="0"/>
        <v>5436913</v>
      </c>
      <c r="H11" s="163">
        <v>268363</v>
      </c>
      <c r="M11" s="153">
        <v>0.594</v>
      </c>
      <c r="N11" s="147">
        <v>9812</v>
      </c>
      <c r="O11" s="147">
        <v>2107</v>
      </c>
      <c r="P11" s="147">
        <v>1171</v>
      </c>
      <c r="Q11" s="38">
        <v>2486</v>
      </c>
      <c r="R11" s="38">
        <v>1080</v>
      </c>
      <c r="S11" s="38">
        <v>120</v>
      </c>
      <c r="T11" s="37">
        <f t="shared" si="1"/>
        <v>16518.51851851852</v>
      </c>
      <c r="U11" s="38">
        <f t="shared" si="2"/>
        <v>3547.138047138047</v>
      </c>
      <c r="V11" s="38">
        <f t="shared" si="3"/>
        <v>1971.3804713804714</v>
      </c>
      <c r="W11" s="37">
        <f t="shared" si="4"/>
        <v>4185.185185185185</v>
      </c>
      <c r="X11" s="37">
        <f t="shared" si="5"/>
        <v>1818.1818181818182</v>
      </c>
      <c r="Y11" s="37">
        <f t="shared" si="6"/>
        <v>202.02020202020202</v>
      </c>
      <c r="AC11" s="175">
        <v>244594</v>
      </c>
      <c r="AD11" s="167"/>
    </row>
    <row r="12" spans="1:32" ht="11.25">
      <c r="A12" s="2" t="s">
        <v>12</v>
      </c>
      <c r="B12" s="3">
        <v>40824435</v>
      </c>
      <c r="C12" s="120">
        <v>1878532</v>
      </c>
      <c r="D12" s="120">
        <v>1490054</v>
      </c>
      <c r="E12" s="3">
        <v>1519376</v>
      </c>
      <c r="F12" s="3">
        <f t="shared" si="0"/>
        <v>4887962</v>
      </c>
      <c r="G12" s="166">
        <v>165804</v>
      </c>
      <c r="H12" s="163">
        <v>260498</v>
      </c>
      <c r="I12" s="135">
        <v>832935.65</v>
      </c>
      <c r="J12" s="4">
        <f aca="true" t="shared" si="7" ref="J12:J32">(C12/G12)*1000</f>
        <v>11329.835227135654</v>
      </c>
      <c r="K12" s="4">
        <f aca="true" t="shared" si="8" ref="K12:K32">(D12/H12)*1000</f>
        <v>5720.020883077797</v>
      </c>
      <c r="L12" s="4">
        <f aca="true" t="shared" si="9" ref="L12:L29">(E12/I12)*1000</f>
        <v>1824.1217073611867</v>
      </c>
      <c r="M12" s="153">
        <v>0.612</v>
      </c>
      <c r="N12" s="147">
        <v>10448</v>
      </c>
      <c r="O12" s="147">
        <v>2334</v>
      </c>
      <c r="P12" s="147">
        <v>1116</v>
      </c>
      <c r="Q12" s="38">
        <v>3044</v>
      </c>
      <c r="R12" s="38">
        <v>1460</v>
      </c>
      <c r="S12" s="38">
        <v>210</v>
      </c>
      <c r="T12" s="37">
        <f t="shared" si="1"/>
        <v>17071.895424836603</v>
      </c>
      <c r="U12" s="38">
        <f t="shared" si="2"/>
        <v>3813.7254901960787</v>
      </c>
      <c r="V12" s="38">
        <f t="shared" si="3"/>
        <v>1823.5294117647059</v>
      </c>
      <c r="W12" s="37">
        <f t="shared" si="4"/>
        <v>4973.856209150327</v>
      </c>
      <c r="X12" s="37">
        <f t="shared" si="5"/>
        <v>2385.62091503268</v>
      </c>
      <c r="Y12" s="37">
        <f t="shared" si="6"/>
        <v>343.1372549019608</v>
      </c>
      <c r="Z12" s="138">
        <f>J12/M12</f>
        <v>18512.80265871839</v>
      </c>
      <c r="AA12" s="138">
        <f>K12/M12</f>
        <v>9346.43935143431</v>
      </c>
      <c r="AB12" s="138">
        <f>L12/M12</f>
        <v>2980.591025099978</v>
      </c>
      <c r="AC12" s="175">
        <v>249320</v>
      </c>
      <c r="AD12" s="176">
        <f>(G12/4)/AC12</f>
        <v>0.16625621690999517</v>
      </c>
      <c r="AE12" s="176">
        <f>(H12/4)/AC12</f>
        <v>0.2612084870848708</v>
      </c>
      <c r="AF12" s="251">
        <f>SUM(G12:I12)</f>
        <v>1259237.65</v>
      </c>
    </row>
    <row r="13" spans="1:32" ht="11.25">
      <c r="A13" s="2" t="s">
        <v>13</v>
      </c>
      <c r="B13" s="3">
        <v>38955922</v>
      </c>
      <c r="C13" s="120">
        <v>1793236</v>
      </c>
      <c r="D13" s="120">
        <v>1452289</v>
      </c>
      <c r="E13" s="3">
        <v>1164418</v>
      </c>
      <c r="F13" s="3">
        <f t="shared" si="0"/>
        <v>4409943</v>
      </c>
      <c r="G13" s="166">
        <v>163102</v>
      </c>
      <c r="H13" s="163">
        <v>247512.7</v>
      </c>
      <c r="I13" s="135">
        <v>816333.38</v>
      </c>
      <c r="J13" s="4">
        <f t="shared" si="7"/>
        <v>10994.567816458411</v>
      </c>
      <c r="K13" s="4">
        <f t="shared" si="8"/>
        <v>5867.53326192959</v>
      </c>
      <c r="L13" s="4">
        <f t="shared" si="9"/>
        <v>1426.4000817901137</v>
      </c>
      <c r="M13" s="154">
        <v>0.63</v>
      </c>
      <c r="N13" s="147">
        <v>11007</v>
      </c>
      <c r="O13" s="147">
        <v>2535</v>
      </c>
      <c r="P13" s="147">
        <v>1245</v>
      </c>
      <c r="Q13" s="38">
        <v>3727</v>
      </c>
      <c r="R13" s="38">
        <v>1604</v>
      </c>
      <c r="S13" s="38">
        <v>390</v>
      </c>
      <c r="T13" s="37">
        <f t="shared" si="1"/>
        <v>17471.428571428572</v>
      </c>
      <c r="U13" s="38">
        <f t="shared" si="2"/>
        <v>4023.809523809524</v>
      </c>
      <c r="V13" s="38">
        <f t="shared" si="3"/>
        <v>1976.1904761904761</v>
      </c>
      <c r="W13" s="37">
        <f t="shared" si="4"/>
        <v>5915.873015873016</v>
      </c>
      <c r="X13" s="37">
        <f t="shared" si="5"/>
        <v>2546.031746031746</v>
      </c>
      <c r="Y13" s="37">
        <f t="shared" si="6"/>
        <v>619.047619047619</v>
      </c>
      <c r="Z13" s="138">
        <f aca="true" t="shared" si="10" ref="Z13:Z32">J13/M13</f>
        <v>17451.694946759384</v>
      </c>
      <c r="AA13" s="138">
        <f aca="true" t="shared" si="11" ref="AA13:AA32">K13/M13</f>
        <v>9313.544860205699</v>
      </c>
      <c r="AB13" s="138">
        <f aca="true" t="shared" si="12" ref="AB13:AB32">L13/M13</f>
        <v>2264.1271139525616</v>
      </c>
      <c r="AC13" s="175">
        <v>253083</v>
      </c>
      <c r="AD13" s="176">
        <f aca="true" t="shared" si="13" ref="AD13:AD33">(G13/4)/AC13</f>
        <v>0.16111512823856206</v>
      </c>
      <c r="AE13" s="176">
        <f aca="true" t="shared" si="14" ref="AE13:AE33">(H13/4)/AC13</f>
        <v>0.24449755613770977</v>
      </c>
      <c r="AF13" s="251">
        <f aca="true" t="shared" si="15" ref="AF13:AF33">SUM(G13:I13)</f>
        <v>1226948.08</v>
      </c>
    </row>
    <row r="14" spans="1:32" ht="11.25">
      <c r="A14" s="2" t="s">
        <v>14</v>
      </c>
      <c r="B14" s="3">
        <v>41954103</v>
      </c>
      <c r="C14" s="120">
        <v>1825402</v>
      </c>
      <c r="D14" s="120">
        <v>1578130</v>
      </c>
      <c r="E14" s="3">
        <v>1168280</v>
      </c>
      <c r="F14" s="3">
        <f t="shared" si="0"/>
        <v>4571812</v>
      </c>
      <c r="G14" s="166">
        <v>162304</v>
      </c>
      <c r="H14" s="163">
        <v>244880.8</v>
      </c>
      <c r="I14" s="135">
        <v>803616.97</v>
      </c>
      <c r="J14" s="4">
        <f t="shared" si="7"/>
        <v>11246.808458201893</v>
      </c>
      <c r="K14" s="4">
        <f t="shared" si="8"/>
        <v>6444.482376731863</v>
      </c>
      <c r="L14" s="4">
        <f t="shared" si="9"/>
        <v>1453.7771645115959</v>
      </c>
      <c r="M14" s="153">
        <v>0.646</v>
      </c>
      <c r="N14" s="147">
        <v>11719</v>
      </c>
      <c r="O14" s="147">
        <v>2705</v>
      </c>
      <c r="P14" s="147">
        <v>1310</v>
      </c>
      <c r="Q14" s="38">
        <v>4111</v>
      </c>
      <c r="R14" s="38">
        <v>1853</v>
      </c>
      <c r="S14" s="38">
        <v>390</v>
      </c>
      <c r="T14" s="37">
        <f t="shared" si="1"/>
        <v>18140.866873065013</v>
      </c>
      <c r="U14" s="38">
        <f t="shared" si="2"/>
        <v>4187.306501547988</v>
      </c>
      <c r="V14" s="38">
        <f t="shared" si="3"/>
        <v>2027.8637770897833</v>
      </c>
      <c r="W14" s="37">
        <f t="shared" si="4"/>
        <v>6363.777089783282</v>
      </c>
      <c r="X14" s="37">
        <f t="shared" si="5"/>
        <v>2868.4210526315787</v>
      </c>
      <c r="Y14" s="37">
        <f t="shared" si="6"/>
        <v>603.7151702786377</v>
      </c>
      <c r="Z14" s="138">
        <f t="shared" si="10"/>
        <v>17409.920213934816</v>
      </c>
      <c r="AA14" s="138">
        <f t="shared" si="11"/>
        <v>9975.978911349634</v>
      </c>
      <c r="AB14" s="138">
        <f t="shared" si="12"/>
        <v>2250.4290472315724</v>
      </c>
      <c r="AC14" s="175">
        <v>255200</v>
      </c>
      <c r="AD14" s="176">
        <f t="shared" si="13"/>
        <v>0.15899686520376174</v>
      </c>
      <c r="AE14" s="176">
        <f t="shared" si="14"/>
        <v>0.23989106583072098</v>
      </c>
      <c r="AF14" s="251">
        <f t="shared" si="15"/>
        <v>1210801.77</v>
      </c>
    </row>
    <row r="15" spans="1:32" ht="11.25">
      <c r="A15" s="2" t="s">
        <v>15</v>
      </c>
      <c r="B15" s="3">
        <v>45393091</v>
      </c>
      <c r="C15" s="120">
        <v>1917696</v>
      </c>
      <c r="D15" s="120">
        <v>1629674</v>
      </c>
      <c r="E15" s="3">
        <v>1338375</v>
      </c>
      <c r="F15" s="3">
        <f t="shared" si="0"/>
        <v>4885745</v>
      </c>
      <c r="G15" s="166">
        <v>163704</v>
      </c>
      <c r="H15" s="163">
        <v>251591.3</v>
      </c>
      <c r="I15" s="135">
        <v>748508.68</v>
      </c>
      <c r="J15" s="4">
        <f t="shared" si="7"/>
        <v>11714.411376630993</v>
      </c>
      <c r="K15" s="4">
        <f t="shared" si="8"/>
        <v>6477.465635735417</v>
      </c>
      <c r="L15" s="4">
        <f t="shared" si="9"/>
        <v>1788.055417072785</v>
      </c>
      <c r="M15" s="153">
        <v>0.665</v>
      </c>
      <c r="N15" s="147">
        <v>12216</v>
      </c>
      <c r="O15" s="147">
        <v>2811</v>
      </c>
      <c r="P15" s="147">
        <v>1330</v>
      </c>
      <c r="Q15" s="38">
        <v>4139</v>
      </c>
      <c r="R15" s="38">
        <v>1891</v>
      </c>
      <c r="S15" s="38">
        <v>390</v>
      </c>
      <c r="T15" s="37">
        <f t="shared" si="1"/>
        <v>18369.924812030073</v>
      </c>
      <c r="U15" s="38">
        <f t="shared" si="2"/>
        <v>4227.067669172932</v>
      </c>
      <c r="V15" s="38">
        <f t="shared" si="3"/>
        <v>2000</v>
      </c>
      <c r="W15" s="37">
        <f t="shared" si="4"/>
        <v>6224.06015037594</v>
      </c>
      <c r="X15" s="37">
        <f t="shared" si="5"/>
        <v>2843.6090225563908</v>
      </c>
      <c r="Y15" s="37">
        <f t="shared" si="6"/>
        <v>586.4661654135338</v>
      </c>
      <c r="Z15" s="138">
        <f t="shared" si="10"/>
        <v>17615.656205460138</v>
      </c>
      <c r="AA15" s="138">
        <f t="shared" si="11"/>
        <v>9740.549828173558</v>
      </c>
      <c r="AB15" s="138">
        <f t="shared" si="12"/>
        <v>2688.805138455316</v>
      </c>
      <c r="AC15" s="175">
        <v>259071</v>
      </c>
      <c r="AD15" s="176">
        <f t="shared" si="13"/>
        <v>0.1579721389117269</v>
      </c>
      <c r="AE15" s="176">
        <f t="shared" si="14"/>
        <v>0.24278219098239479</v>
      </c>
      <c r="AF15" s="251">
        <f t="shared" si="15"/>
        <v>1163803.98</v>
      </c>
    </row>
    <row r="16" spans="1:32" ht="11.25">
      <c r="A16" s="2" t="s">
        <v>16</v>
      </c>
      <c r="B16" s="3">
        <v>49026031</v>
      </c>
      <c r="C16" s="120">
        <v>2057257</v>
      </c>
      <c r="D16" s="120">
        <v>1810062</v>
      </c>
      <c r="E16" s="3">
        <v>1791147</v>
      </c>
      <c r="F16" s="3">
        <f t="shared" si="0"/>
        <v>5658466</v>
      </c>
      <c r="G16" s="166">
        <v>166718</v>
      </c>
      <c r="H16" s="163">
        <v>260927.1</v>
      </c>
      <c r="I16" s="135">
        <v>839023.88</v>
      </c>
      <c r="J16" s="4">
        <f t="shared" si="7"/>
        <v>12339.741359661224</v>
      </c>
      <c r="K16" s="4">
        <f t="shared" si="8"/>
        <v>6937.041035599598</v>
      </c>
      <c r="L16" s="4">
        <f t="shared" si="9"/>
        <v>2134.7985947670527</v>
      </c>
      <c r="M16" s="153">
        <v>0.684</v>
      </c>
      <c r="N16" s="147">
        <v>12994</v>
      </c>
      <c r="O16" s="147">
        <v>2975</v>
      </c>
      <c r="P16" s="147">
        <v>1465</v>
      </c>
      <c r="Q16" s="38">
        <v>4166</v>
      </c>
      <c r="R16" s="38">
        <v>1935</v>
      </c>
      <c r="S16" s="38">
        <v>390</v>
      </c>
      <c r="T16" s="37">
        <f t="shared" si="1"/>
        <v>18997.07602339181</v>
      </c>
      <c r="U16" s="38">
        <f t="shared" si="2"/>
        <v>4349.415204678362</v>
      </c>
      <c r="V16" s="38">
        <f t="shared" si="3"/>
        <v>2141.812865497076</v>
      </c>
      <c r="W16" s="37">
        <f t="shared" si="4"/>
        <v>6090.643274853801</v>
      </c>
      <c r="X16" s="37">
        <f t="shared" si="5"/>
        <v>2828.9473684210525</v>
      </c>
      <c r="Y16" s="37">
        <f t="shared" si="6"/>
        <v>570.1754385964912</v>
      </c>
      <c r="Z16" s="138">
        <f t="shared" si="10"/>
        <v>18040.55754336436</v>
      </c>
      <c r="AA16" s="138">
        <f t="shared" si="11"/>
        <v>10141.87285906374</v>
      </c>
      <c r="AB16" s="138">
        <f t="shared" si="12"/>
        <v>3121.050577144814</v>
      </c>
      <c r="AC16" s="175">
        <v>269071</v>
      </c>
      <c r="AD16" s="176">
        <f t="shared" si="13"/>
        <v>0.15490149440110604</v>
      </c>
      <c r="AE16" s="176">
        <f t="shared" si="14"/>
        <v>0.24243331685688907</v>
      </c>
      <c r="AF16" s="251">
        <f t="shared" si="15"/>
        <v>1266668.98</v>
      </c>
    </row>
    <row r="17" spans="1:32" ht="11.25">
      <c r="A17" s="2" t="s">
        <v>17</v>
      </c>
      <c r="B17" s="3">
        <v>52784600</v>
      </c>
      <c r="C17" s="120">
        <v>2180350</v>
      </c>
      <c r="D17" s="120">
        <v>1872391</v>
      </c>
      <c r="E17" s="3">
        <v>2037608</v>
      </c>
      <c r="F17" s="3">
        <f t="shared" si="0"/>
        <v>6090349</v>
      </c>
      <c r="G17" s="166">
        <v>169862</v>
      </c>
      <c r="H17" s="163">
        <v>266877.3</v>
      </c>
      <c r="I17" s="135">
        <v>873296.16</v>
      </c>
      <c r="J17" s="4">
        <f t="shared" si="7"/>
        <v>12836.00805359645</v>
      </c>
      <c r="K17" s="4">
        <f t="shared" si="8"/>
        <v>7015.924546598756</v>
      </c>
      <c r="L17" s="4">
        <f t="shared" si="9"/>
        <v>2333.238245316457</v>
      </c>
      <c r="M17" s="153">
        <v>0.7</v>
      </c>
      <c r="N17" s="147">
        <v>13785</v>
      </c>
      <c r="O17" s="147">
        <v>3111</v>
      </c>
      <c r="P17" s="147">
        <v>1567</v>
      </c>
      <c r="Q17" s="38">
        <v>4212</v>
      </c>
      <c r="R17" s="38">
        <v>1946</v>
      </c>
      <c r="S17" s="38">
        <v>390</v>
      </c>
      <c r="T17" s="37">
        <f t="shared" si="1"/>
        <v>19692.857142857145</v>
      </c>
      <c r="U17" s="38">
        <f t="shared" si="2"/>
        <v>4444.285714285715</v>
      </c>
      <c r="V17" s="38">
        <f t="shared" si="3"/>
        <v>2238.571428571429</v>
      </c>
      <c r="W17" s="37">
        <f t="shared" si="4"/>
        <v>6017.142857142858</v>
      </c>
      <c r="X17" s="37">
        <f t="shared" si="5"/>
        <v>2780</v>
      </c>
      <c r="Y17" s="37">
        <f t="shared" si="6"/>
        <v>557.1428571428572</v>
      </c>
      <c r="Z17" s="138">
        <f t="shared" si="10"/>
        <v>18337.154362280642</v>
      </c>
      <c r="AA17" s="138">
        <f t="shared" si="11"/>
        <v>10022.749352283938</v>
      </c>
      <c r="AB17" s="138">
        <f t="shared" si="12"/>
        <v>3333.1974933092242</v>
      </c>
      <c r="AC17" s="175">
        <v>282432</v>
      </c>
      <c r="AD17" s="176">
        <f t="shared" si="13"/>
        <v>0.1503565460004532</v>
      </c>
      <c r="AE17" s="176">
        <f t="shared" si="14"/>
        <v>0.2362314645649218</v>
      </c>
      <c r="AF17" s="251">
        <f t="shared" si="15"/>
        <v>1310035.46</v>
      </c>
    </row>
    <row r="18" spans="1:32" ht="11.25">
      <c r="A18" s="2" t="s">
        <v>18</v>
      </c>
      <c r="B18" s="3">
        <v>58579154</v>
      </c>
      <c r="C18" s="120">
        <v>2517773</v>
      </c>
      <c r="D18" s="120">
        <v>2098729</v>
      </c>
      <c r="E18" s="3">
        <v>2209149</v>
      </c>
      <c r="F18" s="3">
        <f t="shared" si="0"/>
        <v>6825651</v>
      </c>
      <c r="G18" s="166">
        <v>173643</v>
      </c>
      <c r="H18" s="163">
        <v>272109.7</v>
      </c>
      <c r="I18" s="135">
        <v>902129.7</v>
      </c>
      <c r="J18" s="4">
        <f t="shared" si="7"/>
        <v>14499.709173419025</v>
      </c>
      <c r="K18" s="4">
        <f t="shared" si="8"/>
        <v>7712.804798946895</v>
      </c>
      <c r="L18" s="4">
        <f t="shared" si="9"/>
        <v>2448.815286759764</v>
      </c>
      <c r="M18" s="154">
        <v>0.711</v>
      </c>
      <c r="N18" s="147">
        <v>14709</v>
      </c>
      <c r="O18" s="147">
        <v>3247</v>
      </c>
      <c r="P18" s="147">
        <v>1554</v>
      </c>
      <c r="Q18" s="38">
        <v>4037</v>
      </c>
      <c r="R18" s="38">
        <v>1871</v>
      </c>
      <c r="S18" s="38">
        <v>360</v>
      </c>
      <c r="T18" s="37">
        <f t="shared" si="1"/>
        <v>20687.76371308017</v>
      </c>
      <c r="U18" s="38">
        <f t="shared" si="2"/>
        <v>4566.8073136427565</v>
      </c>
      <c r="V18" s="38">
        <f t="shared" si="3"/>
        <v>2185.654008438819</v>
      </c>
      <c r="W18" s="37">
        <f t="shared" si="4"/>
        <v>5677.918424753868</v>
      </c>
      <c r="X18" s="37">
        <f t="shared" si="5"/>
        <v>2631.5049226441633</v>
      </c>
      <c r="Y18" s="37">
        <f t="shared" si="6"/>
        <v>506.32911392405066</v>
      </c>
      <c r="Z18" s="138">
        <f t="shared" si="10"/>
        <v>20393.402494260234</v>
      </c>
      <c r="AA18" s="138">
        <f t="shared" si="11"/>
        <v>10847.826721444297</v>
      </c>
      <c r="AB18" s="138">
        <f t="shared" si="12"/>
        <v>3444.184650857615</v>
      </c>
      <c r="AC18" s="175">
        <v>298602</v>
      </c>
      <c r="AD18" s="176">
        <f t="shared" si="13"/>
        <v>0.14537997066329095</v>
      </c>
      <c r="AE18" s="176">
        <f t="shared" si="14"/>
        <v>0.22781972324364874</v>
      </c>
      <c r="AF18" s="251">
        <f t="shared" si="15"/>
        <v>1347882.4</v>
      </c>
    </row>
    <row r="19" spans="1:32" ht="11.25">
      <c r="A19" s="2" t="s">
        <v>19</v>
      </c>
      <c r="B19" s="3">
        <v>66778622</v>
      </c>
      <c r="C19" s="120">
        <v>2715762</v>
      </c>
      <c r="D19" s="120">
        <v>2175381</v>
      </c>
      <c r="E19" s="3">
        <v>2310815</v>
      </c>
      <c r="F19" s="3">
        <f t="shared" si="0"/>
        <v>7201958</v>
      </c>
      <c r="G19" s="162">
        <f>165968+29186</f>
        <v>195154</v>
      </c>
      <c r="H19" s="163">
        <v>280618.4</v>
      </c>
      <c r="I19" s="135">
        <v>940276.57</v>
      </c>
      <c r="J19" s="4">
        <f t="shared" si="7"/>
        <v>13915.994547895509</v>
      </c>
      <c r="K19" s="4">
        <f t="shared" si="8"/>
        <v>7752.09679764406</v>
      </c>
      <c r="L19" s="4">
        <f t="shared" si="9"/>
        <v>2457.5907490707764</v>
      </c>
      <c r="M19" s="153">
        <v>0.727</v>
      </c>
      <c r="N19" s="147">
        <v>15518</v>
      </c>
      <c r="O19" s="147">
        <v>3362</v>
      </c>
      <c r="P19" s="147">
        <v>1649</v>
      </c>
      <c r="Q19" s="38">
        <v>3903</v>
      </c>
      <c r="R19" s="38">
        <v>1830</v>
      </c>
      <c r="S19" s="38">
        <v>330</v>
      </c>
      <c r="T19" s="37">
        <f t="shared" si="1"/>
        <v>21345.25447042641</v>
      </c>
      <c r="U19" s="38">
        <f t="shared" si="2"/>
        <v>4624.484181568088</v>
      </c>
      <c r="V19" s="38">
        <f t="shared" si="3"/>
        <v>2268.2255845942227</v>
      </c>
      <c r="W19" s="37">
        <f t="shared" si="4"/>
        <v>5368.6382393397525</v>
      </c>
      <c r="X19" s="37">
        <f t="shared" si="5"/>
        <v>2517.193947730399</v>
      </c>
      <c r="Y19" s="37">
        <f t="shared" si="6"/>
        <v>453.920220082531</v>
      </c>
      <c r="Z19" s="138">
        <f t="shared" si="10"/>
        <v>19141.670629842516</v>
      </c>
      <c r="AA19" s="138">
        <f t="shared" si="11"/>
        <v>10663.131771174772</v>
      </c>
      <c r="AB19" s="138">
        <f t="shared" si="12"/>
        <v>3380.4549505787845</v>
      </c>
      <c r="AC19" s="175">
        <v>309108</v>
      </c>
      <c r="AD19" s="176">
        <f t="shared" si="13"/>
        <v>0.15783641963326733</v>
      </c>
      <c r="AE19" s="176">
        <f t="shared" si="14"/>
        <v>0.2269582152516273</v>
      </c>
      <c r="AF19" s="251">
        <f t="shared" si="15"/>
        <v>1416048.97</v>
      </c>
    </row>
    <row r="20" spans="1:32" ht="11.25">
      <c r="A20" s="9" t="s">
        <v>20</v>
      </c>
      <c r="B20" s="10">
        <v>80086812</v>
      </c>
      <c r="C20" s="120">
        <v>3191614</v>
      </c>
      <c r="D20" s="120">
        <v>2428992</v>
      </c>
      <c r="E20" s="10">
        <v>2746546</v>
      </c>
      <c r="F20" s="134">
        <f t="shared" si="0"/>
        <v>8367152</v>
      </c>
      <c r="G20" s="162">
        <v>183355</v>
      </c>
      <c r="H20" s="163">
        <v>287021.4</v>
      </c>
      <c r="I20" s="136">
        <v>961560.75</v>
      </c>
      <c r="J20" s="11">
        <f t="shared" si="7"/>
        <v>17406.74647541654</v>
      </c>
      <c r="K20" s="11">
        <f t="shared" si="8"/>
        <v>8462.755738770698</v>
      </c>
      <c r="L20" s="11">
        <f t="shared" si="9"/>
        <v>2856.3416300010167</v>
      </c>
      <c r="M20" s="153">
        <v>0.751</v>
      </c>
      <c r="N20" s="147">
        <v>16072</v>
      </c>
      <c r="O20" s="147">
        <v>3508</v>
      </c>
      <c r="P20" s="147">
        <v>1642</v>
      </c>
      <c r="Q20" s="39">
        <v>3964</v>
      </c>
      <c r="R20" s="39">
        <v>1839</v>
      </c>
      <c r="S20" s="39">
        <v>330</v>
      </c>
      <c r="T20" s="151">
        <f t="shared" si="1"/>
        <v>21400.79893475366</v>
      </c>
      <c r="U20" s="152">
        <f t="shared" si="2"/>
        <v>4671.105193075899</v>
      </c>
      <c r="V20" s="152">
        <f t="shared" si="3"/>
        <v>2186.4181091877495</v>
      </c>
      <c r="W20" s="151">
        <f t="shared" si="4"/>
        <v>5278.295605858855</v>
      </c>
      <c r="X20" s="40">
        <f t="shared" si="5"/>
        <v>2448.7350199733687</v>
      </c>
      <c r="Y20" s="40">
        <f t="shared" si="6"/>
        <v>439.41411451398136</v>
      </c>
      <c r="Z20" s="138">
        <f t="shared" si="10"/>
        <v>23178.09117898341</v>
      </c>
      <c r="AA20" s="138">
        <f t="shared" si="11"/>
        <v>11268.649452424364</v>
      </c>
      <c r="AB20" s="138">
        <f t="shared" si="12"/>
        <v>3803.3843275646027</v>
      </c>
      <c r="AC20" s="175">
        <v>315575</v>
      </c>
      <c r="AD20" s="176">
        <f t="shared" si="13"/>
        <v>0.14525469381288125</v>
      </c>
      <c r="AE20" s="176">
        <f t="shared" si="14"/>
        <v>0.22737970371544008</v>
      </c>
      <c r="AF20" s="251">
        <f t="shared" si="15"/>
        <v>1431937.15</v>
      </c>
    </row>
    <row r="21" spans="1:32" ht="11.25">
      <c r="A21" s="2" t="s">
        <v>21</v>
      </c>
      <c r="B21" s="120">
        <v>76751710</v>
      </c>
      <c r="C21" s="120">
        <v>3322659</v>
      </c>
      <c r="D21" s="120">
        <v>2680677</v>
      </c>
      <c r="E21" s="120">
        <v>2706615</v>
      </c>
      <c r="F21" s="3">
        <f t="shared" si="0"/>
        <v>8709951</v>
      </c>
      <c r="G21" s="162">
        <v>191903</v>
      </c>
      <c r="H21" s="163">
        <v>302904</v>
      </c>
      <c r="I21" s="135">
        <v>1034629.85</v>
      </c>
      <c r="J21" s="4">
        <f t="shared" si="7"/>
        <v>17314.262934920247</v>
      </c>
      <c r="K21" s="4">
        <f t="shared" si="8"/>
        <v>8849.922747801284</v>
      </c>
      <c r="L21" s="4">
        <f t="shared" si="9"/>
        <v>2616.022532116196</v>
      </c>
      <c r="M21" s="153">
        <v>0.772</v>
      </c>
      <c r="N21" s="147">
        <v>17377</v>
      </c>
      <c r="O21" s="147">
        <v>3766</v>
      </c>
      <c r="P21" s="147">
        <v>1608</v>
      </c>
      <c r="Q21" s="38">
        <v>3859</v>
      </c>
      <c r="R21" s="38">
        <v>1876</v>
      </c>
      <c r="S21" s="38">
        <v>330</v>
      </c>
      <c r="T21" s="37">
        <f t="shared" si="1"/>
        <v>22509.06735751295</v>
      </c>
      <c r="U21" s="38">
        <f t="shared" si="2"/>
        <v>4878.238341968912</v>
      </c>
      <c r="V21" s="38">
        <f t="shared" si="3"/>
        <v>2082.901554404145</v>
      </c>
      <c r="W21" s="37">
        <f t="shared" si="4"/>
        <v>4998.704663212435</v>
      </c>
      <c r="X21" s="37">
        <f t="shared" si="5"/>
        <v>2430.0518134715026</v>
      </c>
      <c r="Y21" s="37">
        <f t="shared" si="6"/>
        <v>427.461139896373</v>
      </c>
      <c r="Z21" s="138">
        <f t="shared" si="10"/>
        <v>22427.801729171304</v>
      </c>
      <c r="AA21" s="138">
        <f t="shared" si="11"/>
        <v>11463.630502333268</v>
      </c>
      <c r="AB21" s="138">
        <f t="shared" si="12"/>
        <v>3388.6302229484404</v>
      </c>
      <c r="AC21" s="175">
        <v>325409</v>
      </c>
      <c r="AD21" s="176">
        <f t="shared" si="13"/>
        <v>0.14743215461158113</v>
      </c>
      <c r="AE21" s="176">
        <f t="shared" si="14"/>
        <v>0.2327102200615226</v>
      </c>
      <c r="AF21" s="251">
        <f t="shared" si="15"/>
        <v>1529436.85</v>
      </c>
    </row>
    <row r="22" spans="1:32" ht="11.25">
      <c r="A22" s="2" t="s">
        <v>22</v>
      </c>
      <c r="B22" s="120">
        <v>77482135</v>
      </c>
      <c r="C22" s="120">
        <v>3150011</v>
      </c>
      <c r="D22" s="120">
        <v>2697142</v>
      </c>
      <c r="E22" s="168">
        <v>2738430</v>
      </c>
      <c r="F22" s="3">
        <f t="shared" si="0"/>
        <v>8585583</v>
      </c>
      <c r="G22" s="162">
        <v>201297</v>
      </c>
      <c r="H22" s="163">
        <v>318065.8</v>
      </c>
      <c r="I22" s="135">
        <v>1061141.23</v>
      </c>
      <c r="J22" s="4">
        <f t="shared" si="7"/>
        <v>15648.5739976254</v>
      </c>
      <c r="K22" s="4">
        <f t="shared" si="8"/>
        <v>8479.82398610602</v>
      </c>
      <c r="L22" s="4">
        <f t="shared" si="9"/>
        <v>2580.6461219115954</v>
      </c>
      <c r="M22" s="153">
        <v>0.785</v>
      </c>
      <c r="N22" s="147">
        <v>18060</v>
      </c>
      <c r="O22" s="147">
        <v>4098</v>
      </c>
      <c r="P22" s="147">
        <v>1674</v>
      </c>
      <c r="Q22" s="38">
        <v>4017</v>
      </c>
      <c r="R22" s="38">
        <v>2005</v>
      </c>
      <c r="S22" s="38">
        <v>330</v>
      </c>
      <c r="T22" s="37">
        <f t="shared" si="1"/>
        <v>23006.369426751593</v>
      </c>
      <c r="U22" s="38">
        <f t="shared" si="2"/>
        <v>5220.382165605095</v>
      </c>
      <c r="V22" s="38">
        <f t="shared" si="3"/>
        <v>2132.484076433121</v>
      </c>
      <c r="W22" s="37">
        <f t="shared" si="4"/>
        <v>5117.197452229299</v>
      </c>
      <c r="X22" s="37">
        <f t="shared" si="5"/>
        <v>2554.140127388535</v>
      </c>
      <c r="Y22" s="37">
        <f t="shared" si="6"/>
        <v>420.3821656050955</v>
      </c>
      <c r="Z22" s="138">
        <f t="shared" si="10"/>
        <v>19934.489168949556</v>
      </c>
      <c r="AA22" s="138">
        <f t="shared" si="11"/>
        <v>10802.323549179642</v>
      </c>
      <c r="AB22" s="138">
        <f t="shared" si="12"/>
        <v>3287.447289059357</v>
      </c>
      <c r="AC22" s="175">
        <v>340733</v>
      </c>
      <c r="AD22" s="176">
        <f t="shared" si="13"/>
        <v>0.1476940889200635</v>
      </c>
      <c r="AE22" s="176">
        <f t="shared" si="14"/>
        <v>0.2333687960954765</v>
      </c>
      <c r="AF22" s="251">
        <f t="shared" si="15"/>
        <v>1580504.03</v>
      </c>
    </row>
    <row r="23" spans="1:32" ht="11.25">
      <c r="A23" s="2" t="s">
        <v>23</v>
      </c>
      <c r="B23" s="120">
        <v>76333232</v>
      </c>
      <c r="C23" s="120">
        <v>2868069</v>
      </c>
      <c r="D23" s="120">
        <v>2625699</v>
      </c>
      <c r="E23" s="120">
        <v>2281220</v>
      </c>
      <c r="F23" s="3">
        <f t="shared" si="0"/>
        <v>7774988</v>
      </c>
      <c r="G23" s="162">
        <v>208391</v>
      </c>
      <c r="H23" s="163">
        <v>321607</v>
      </c>
      <c r="I23" s="135">
        <v>1027469.99</v>
      </c>
      <c r="J23" s="4">
        <f t="shared" si="7"/>
        <v>13762.921623294671</v>
      </c>
      <c r="K23" s="4">
        <f t="shared" si="8"/>
        <v>8164.30923456268</v>
      </c>
      <c r="L23" s="4">
        <f t="shared" si="9"/>
        <v>2220.2302959719536</v>
      </c>
      <c r="M23" s="154">
        <v>0.802</v>
      </c>
      <c r="N23" s="147">
        <v>18950</v>
      </c>
      <c r="O23" s="147">
        <v>4645</v>
      </c>
      <c r="P23" s="147">
        <v>1909</v>
      </c>
      <c r="Q23" s="38">
        <v>5530</v>
      </c>
      <c r="R23" s="38">
        <v>2572</v>
      </c>
      <c r="S23" s="38">
        <v>540</v>
      </c>
      <c r="T23" s="37">
        <f t="shared" si="1"/>
        <v>23628.428927680798</v>
      </c>
      <c r="U23" s="38">
        <f t="shared" si="2"/>
        <v>5791.770573566085</v>
      </c>
      <c r="V23" s="38">
        <f t="shared" si="3"/>
        <v>2380.299251870324</v>
      </c>
      <c r="W23" s="37">
        <f t="shared" si="4"/>
        <v>6895.261845386533</v>
      </c>
      <c r="X23" s="37">
        <f t="shared" si="5"/>
        <v>3206.9825436408973</v>
      </c>
      <c r="Y23" s="37">
        <f t="shared" si="6"/>
        <v>673.3167082294264</v>
      </c>
      <c r="Z23" s="138">
        <f t="shared" si="10"/>
        <v>17160.750153734003</v>
      </c>
      <c r="AA23" s="138">
        <f t="shared" si="11"/>
        <v>10179.936701449726</v>
      </c>
      <c r="AB23" s="138">
        <f t="shared" si="12"/>
        <v>2768.366952583483</v>
      </c>
      <c r="AC23" s="175">
        <v>342659</v>
      </c>
      <c r="AD23" s="176">
        <f t="shared" si="13"/>
        <v>0.1520396370735921</v>
      </c>
      <c r="AE23" s="176">
        <f t="shared" si="14"/>
        <v>0.23464070694188682</v>
      </c>
      <c r="AF23" s="251">
        <f t="shared" si="15"/>
        <v>1557467.99</v>
      </c>
    </row>
    <row r="24" spans="1:32" ht="11.25">
      <c r="A24" s="2" t="s">
        <v>24</v>
      </c>
      <c r="B24" s="120">
        <v>81815987</v>
      </c>
      <c r="C24" s="120">
        <v>2698673</v>
      </c>
      <c r="D24" s="120">
        <v>2475792</v>
      </c>
      <c r="E24" s="120">
        <v>3050618</v>
      </c>
      <c r="F24" s="3">
        <f t="shared" si="0"/>
        <v>8225083</v>
      </c>
      <c r="G24" s="162">
        <v>207909</v>
      </c>
      <c r="H24" s="163">
        <v>317219.5</v>
      </c>
      <c r="I24" s="135">
        <v>1007595.18</v>
      </c>
      <c r="J24" s="4">
        <f t="shared" si="7"/>
        <v>12980.0682029157</v>
      </c>
      <c r="K24" s="4">
        <f t="shared" si="8"/>
        <v>7804.665223922238</v>
      </c>
      <c r="L24" s="4">
        <f t="shared" si="9"/>
        <v>3027.6226609182468</v>
      </c>
      <c r="M24" s="153">
        <v>0.824</v>
      </c>
      <c r="N24" s="147">
        <v>20045</v>
      </c>
      <c r="O24" s="147">
        <v>5126</v>
      </c>
      <c r="P24" s="147">
        <v>2079</v>
      </c>
      <c r="Q24" s="38">
        <v>6312</v>
      </c>
      <c r="R24" s="38">
        <v>2916</v>
      </c>
      <c r="S24" s="38">
        <v>780</v>
      </c>
      <c r="T24" s="37">
        <f t="shared" si="1"/>
        <v>24326.456310679612</v>
      </c>
      <c r="U24" s="38">
        <f t="shared" si="2"/>
        <v>6220.8737864077675</v>
      </c>
      <c r="V24" s="38">
        <f t="shared" si="3"/>
        <v>2523.0582524271845</v>
      </c>
      <c r="W24" s="37">
        <f t="shared" si="4"/>
        <v>7660.194174757282</v>
      </c>
      <c r="X24" s="37">
        <f t="shared" si="5"/>
        <v>3538.834951456311</v>
      </c>
      <c r="Y24" s="37">
        <f t="shared" si="6"/>
        <v>946.6019417475728</v>
      </c>
      <c r="Z24" s="138">
        <f t="shared" si="10"/>
        <v>15752.509954994783</v>
      </c>
      <c r="AA24" s="138">
        <f t="shared" si="11"/>
        <v>9471.681096993007</v>
      </c>
      <c r="AB24" s="138">
        <f t="shared" si="12"/>
        <v>3674.2993457745715</v>
      </c>
      <c r="AC24" s="175">
        <v>354948</v>
      </c>
      <c r="AD24" s="176">
        <f t="shared" si="13"/>
        <v>0.14643623854761825</v>
      </c>
      <c r="AE24" s="176">
        <f t="shared" si="14"/>
        <v>0.2234267413818362</v>
      </c>
      <c r="AF24" s="251">
        <f t="shared" si="15"/>
        <v>1532723.6800000002</v>
      </c>
    </row>
    <row r="25" spans="1:32" ht="11.25">
      <c r="A25" s="2" t="s">
        <v>25</v>
      </c>
      <c r="B25" s="120">
        <v>91591548</v>
      </c>
      <c r="C25" s="120">
        <v>2838567</v>
      </c>
      <c r="D25" s="120">
        <v>2596001</v>
      </c>
      <c r="E25" s="120">
        <v>3586486</v>
      </c>
      <c r="F25" s="3">
        <f t="shared" si="0"/>
        <v>9021054</v>
      </c>
      <c r="G25" s="162">
        <v>209080</v>
      </c>
      <c r="H25" s="163">
        <v>325560.8</v>
      </c>
      <c r="I25" s="135">
        <v>1028886.49</v>
      </c>
      <c r="J25" s="4">
        <f t="shared" si="7"/>
        <v>13576.463554620243</v>
      </c>
      <c r="K25" s="4">
        <f t="shared" si="8"/>
        <v>7973.936051269072</v>
      </c>
      <c r="L25" s="4">
        <f t="shared" si="9"/>
        <v>3485.793656402272</v>
      </c>
      <c r="M25" s="153">
        <v>0.852</v>
      </c>
      <c r="N25" s="147">
        <v>20980</v>
      </c>
      <c r="O25" s="147">
        <v>5492</v>
      </c>
      <c r="P25" s="147">
        <v>2182</v>
      </c>
      <c r="Q25" s="38">
        <v>6802</v>
      </c>
      <c r="R25" s="38">
        <v>3164</v>
      </c>
      <c r="S25" s="38">
        <v>780</v>
      </c>
      <c r="T25" s="37">
        <f t="shared" si="1"/>
        <v>24624.413145539907</v>
      </c>
      <c r="U25" s="38">
        <f t="shared" si="2"/>
        <v>6446.0093896713615</v>
      </c>
      <c r="V25" s="38">
        <f t="shared" si="3"/>
        <v>2561.0328638497654</v>
      </c>
      <c r="W25" s="37">
        <f t="shared" si="4"/>
        <v>7983.568075117371</v>
      </c>
      <c r="X25" s="37">
        <f t="shared" si="5"/>
        <v>3713.6150234741785</v>
      </c>
      <c r="Y25" s="37">
        <f t="shared" si="6"/>
        <v>915.4929577464789</v>
      </c>
      <c r="Z25" s="138">
        <f t="shared" si="10"/>
        <v>15934.816378662257</v>
      </c>
      <c r="AA25" s="138">
        <f t="shared" si="11"/>
        <v>9359.07987238154</v>
      </c>
      <c r="AB25" s="138">
        <f t="shared" si="12"/>
        <v>4091.3071084533713</v>
      </c>
      <c r="AC25" s="175">
        <v>348986</v>
      </c>
      <c r="AD25" s="176">
        <f t="shared" si="13"/>
        <v>0.14977678187663687</v>
      </c>
      <c r="AE25" s="176">
        <f t="shared" si="14"/>
        <v>0.23321909761423093</v>
      </c>
      <c r="AF25" s="251">
        <f t="shared" si="15"/>
        <v>1563527.29</v>
      </c>
    </row>
    <row r="26" spans="1:32" ht="11.25">
      <c r="A26" s="2" t="s">
        <v>26</v>
      </c>
      <c r="B26" s="120">
        <v>101412957</v>
      </c>
      <c r="C26" s="120">
        <v>3069339</v>
      </c>
      <c r="D26" s="120">
        <v>2807970</v>
      </c>
      <c r="E26" s="120">
        <v>4004626</v>
      </c>
      <c r="F26" s="3">
        <f t="shared" si="0"/>
        <v>9881935</v>
      </c>
      <c r="G26" s="162">
        <v>214298</v>
      </c>
      <c r="H26" s="163">
        <v>343198.7</v>
      </c>
      <c r="I26" s="135">
        <v>1045503.41</v>
      </c>
      <c r="J26" s="4">
        <f t="shared" si="7"/>
        <v>14322.760828379172</v>
      </c>
      <c r="K26" s="4">
        <f t="shared" si="8"/>
        <v>8181.76176075259</v>
      </c>
      <c r="L26" s="4">
        <f t="shared" si="9"/>
        <v>3830.3327963320558</v>
      </c>
      <c r="M26" s="153">
        <v>0.879</v>
      </c>
      <c r="N26" s="147">
        <v>22308</v>
      </c>
      <c r="O26" s="147">
        <v>5804</v>
      </c>
      <c r="P26" s="147">
        <v>2266</v>
      </c>
      <c r="Q26" s="38">
        <v>7517</v>
      </c>
      <c r="R26" s="38">
        <v>3199</v>
      </c>
      <c r="S26" s="38">
        <v>690</v>
      </c>
      <c r="T26" s="37">
        <f t="shared" si="1"/>
        <v>25378.839590443687</v>
      </c>
      <c r="U26" s="38">
        <f t="shared" si="2"/>
        <v>6602.957906712173</v>
      </c>
      <c r="V26" s="38">
        <f t="shared" si="3"/>
        <v>2577.929465301479</v>
      </c>
      <c r="W26" s="37">
        <f t="shared" si="4"/>
        <v>8551.763367463027</v>
      </c>
      <c r="X26" s="37">
        <f t="shared" si="5"/>
        <v>3639.362912400455</v>
      </c>
      <c r="Y26" s="37">
        <f t="shared" si="6"/>
        <v>784.9829351535836</v>
      </c>
      <c r="Z26" s="138">
        <f t="shared" si="10"/>
        <v>16294.380919657762</v>
      </c>
      <c r="AA26" s="138">
        <f t="shared" si="11"/>
        <v>9308.033857511478</v>
      </c>
      <c r="AB26" s="138">
        <f t="shared" si="12"/>
        <v>4357.602726202566</v>
      </c>
      <c r="AC26" s="175">
        <v>356317</v>
      </c>
      <c r="AD26" s="176">
        <f t="shared" si="13"/>
        <v>0.1503562838708229</v>
      </c>
      <c r="AE26" s="176">
        <f t="shared" si="14"/>
        <v>0.24079590645408444</v>
      </c>
      <c r="AF26" s="251">
        <f t="shared" si="15"/>
        <v>1603000.1099999999</v>
      </c>
    </row>
    <row r="27" spans="1:32" ht="11.25">
      <c r="A27" s="2" t="s">
        <v>27</v>
      </c>
      <c r="B27" s="120">
        <v>102985674</v>
      </c>
      <c r="C27" s="120">
        <v>3257409</v>
      </c>
      <c r="D27" s="120">
        <v>2970643</v>
      </c>
      <c r="E27" s="120">
        <v>4170296</v>
      </c>
      <c r="F27" s="3">
        <f t="shared" si="0"/>
        <v>10398348</v>
      </c>
      <c r="G27" s="162">
        <v>220034</v>
      </c>
      <c r="H27" s="163">
        <v>357746.1</v>
      </c>
      <c r="I27" s="135">
        <v>1131608.4</v>
      </c>
      <c r="J27" s="4">
        <f t="shared" si="7"/>
        <v>14804.11663651981</v>
      </c>
      <c r="K27" s="4">
        <f t="shared" si="8"/>
        <v>8303.774660296787</v>
      </c>
      <c r="L27" s="4">
        <f t="shared" si="9"/>
        <v>3685.2819402895916</v>
      </c>
      <c r="M27" s="153">
        <v>0.904</v>
      </c>
      <c r="N27" s="148">
        <v>23745</v>
      </c>
      <c r="O27" s="148">
        <v>6191</v>
      </c>
      <c r="P27" s="148">
        <v>2294</v>
      </c>
      <c r="Q27" s="38">
        <v>8027</v>
      </c>
      <c r="R27" s="38">
        <v>3521</v>
      </c>
      <c r="S27" s="38">
        <v>600</v>
      </c>
      <c r="T27" s="37">
        <f t="shared" si="1"/>
        <v>26266.59292035398</v>
      </c>
      <c r="U27" s="38">
        <f t="shared" si="2"/>
        <v>6848.451327433628</v>
      </c>
      <c r="V27" s="38">
        <f t="shared" si="3"/>
        <v>2537.6106194690265</v>
      </c>
      <c r="W27" s="37">
        <f t="shared" si="4"/>
        <v>8879.424778761062</v>
      </c>
      <c r="X27" s="37">
        <f t="shared" si="5"/>
        <v>3894.9115044247787</v>
      </c>
      <c r="Y27" s="37">
        <f t="shared" si="6"/>
        <v>663.716814159292</v>
      </c>
      <c r="Z27" s="138">
        <f t="shared" si="10"/>
        <v>16376.235217389169</v>
      </c>
      <c r="AA27" s="138">
        <f t="shared" si="11"/>
        <v>9185.591438381402</v>
      </c>
      <c r="AB27" s="138">
        <f t="shared" si="12"/>
        <v>4076.6393144796366</v>
      </c>
      <c r="AC27" s="175">
        <v>376094</v>
      </c>
      <c r="AD27" s="176">
        <f t="shared" si="13"/>
        <v>0.14626263646854243</v>
      </c>
      <c r="AE27" s="176">
        <f t="shared" si="14"/>
        <v>0.2378036474923822</v>
      </c>
      <c r="AF27" s="251">
        <f t="shared" si="15"/>
        <v>1709388.5</v>
      </c>
    </row>
    <row r="28" spans="1:32" ht="11.25">
      <c r="A28" s="2" t="s">
        <v>28</v>
      </c>
      <c r="B28" s="120">
        <v>90940421</v>
      </c>
      <c r="C28" s="120">
        <v>2418291</v>
      </c>
      <c r="D28" s="120">
        <v>2155261</v>
      </c>
      <c r="E28" s="120">
        <v>3944106</v>
      </c>
      <c r="F28" s="3">
        <f t="shared" si="0"/>
        <v>8517658</v>
      </c>
      <c r="G28" s="162">
        <v>226040</v>
      </c>
      <c r="H28" s="163">
        <v>363219.5</v>
      </c>
      <c r="I28" s="173">
        <v>1216152.46</v>
      </c>
      <c r="J28" s="4">
        <f t="shared" si="7"/>
        <v>10698.509113431252</v>
      </c>
      <c r="K28" s="4">
        <f t="shared" si="8"/>
        <v>5933.770075670496</v>
      </c>
      <c r="L28" s="4">
        <f t="shared" si="9"/>
        <v>3243.1016091518654</v>
      </c>
      <c r="M28" s="154">
        <v>0.939</v>
      </c>
      <c r="N28" s="147">
        <v>25177</v>
      </c>
      <c r="O28" s="147">
        <v>6591</v>
      </c>
      <c r="P28" s="147">
        <v>2372</v>
      </c>
      <c r="Q28" s="38">
        <v>8726</v>
      </c>
      <c r="R28" s="38">
        <v>3797</v>
      </c>
      <c r="S28" s="38">
        <v>600</v>
      </c>
      <c r="T28" s="37">
        <f t="shared" si="1"/>
        <v>26812.566560170395</v>
      </c>
      <c r="U28" s="38">
        <f t="shared" si="2"/>
        <v>7019.169329073483</v>
      </c>
      <c r="V28" s="38">
        <f t="shared" si="3"/>
        <v>2526.0915867944623</v>
      </c>
      <c r="W28" s="37">
        <f t="shared" si="4"/>
        <v>9292.86474973376</v>
      </c>
      <c r="X28" s="37">
        <f t="shared" si="5"/>
        <v>4043.663471778488</v>
      </c>
      <c r="Y28" s="37">
        <f t="shared" si="6"/>
        <v>638.9776357827476</v>
      </c>
      <c r="Z28" s="138">
        <f t="shared" si="10"/>
        <v>11393.513432834134</v>
      </c>
      <c r="AA28" s="138">
        <f t="shared" si="11"/>
        <v>6319.243957050582</v>
      </c>
      <c r="AB28" s="138">
        <f t="shared" si="12"/>
        <v>3453.7823313651393</v>
      </c>
      <c r="AC28" s="175">
        <v>382924</v>
      </c>
      <c r="AD28" s="176">
        <f t="shared" si="13"/>
        <v>0.14757497571319636</v>
      </c>
      <c r="AE28" s="176">
        <f t="shared" si="14"/>
        <v>0.23713550208396444</v>
      </c>
      <c r="AF28" s="251">
        <f t="shared" si="15"/>
        <v>1805411.96</v>
      </c>
    </row>
    <row r="29" spans="1:32" ht="11.25">
      <c r="A29" s="106" t="s">
        <v>29</v>
      </c>
      <c r="B29" s="120">
        <v>87236725</v>
      </c>
      <c r="C29" s="120">
        <v>2591158</v>
      </c>
      <c r="D29" s="120">
        <v>2345743</v>
      </c>
      <c r="E29" s="120">
        <v>3764327</v>
      </c>
      <c r="F29" s="3">
        <f t="shared" si="0"/>
        <v>8701228</v>
      </c>
      <c r="G29" s="162">
        <v>231853</v>
      </c>
      <c r="H29" s="163">
        <v>358662</v>
      </c>
      <c r="I29" s="173">
        <v>1232093.77</v>
      </c>
      <c r="J29" s="7">
        <f t="shared" si="7"/>
        <v>11175.865742517888</v>
      </c>
      <c r="K29" s="7">
        <f t="shared" si="8"/>
        <v>6540.260746887041</v>
      </c>
      <c r="L29" s="7">
        <f t="shared" si="9"/>
        <v>3055.2276877432796</v>
      </c>
      <c r="M29" s="153">
        <v>0.936</v>
      </c>
      <c r="N29" s="149">
        <v>26129</v>
      </c>
      <c r="O29" s="149">
        <v>7049.690010381412</v>
      </c>
      <c r="P29" s="149">
        <v>2557.9885843503994</v>
      </c>
      <c r="Q29" s="38">
        <v>9896</v>
      </c>
      <c r="R29" s="38">
        <v>4893</v>
      </c>
      <c r="S29" s="38">
        <v>780</v>
      </c>
      <c r="T29" s="37">
        <f t="shared" si="1"/>
        <v>27915.59829059829</v>
      </c>
      <c r="U29" s="38">
        <f t="shared" si="2"/>
        <v>7531.720096561337</v>
      </c>
      <c r="V29" s="38">
        <f t="shared" si="3"/>
        <v>2732.8937866991446</v>
      </c>
      <c r="W29" s="37">
        <f t="shared" si="4"/>
        <v>10572.649572649572</v>
      </c>
      <c r="X29" s="37">
        <f t="shared" si="5"/>
        <v>5227.5641025641025</v>
      </c>
      <c r="Y29" s="37">
        <f t="shared" si="6"/>
        <v>833.3333333333333</v>
      </c>
      <c r="Z29" s="138">
        <f t="shared" si="10"/>
        <v>11940.02750269005</v>
      </c>
      <c r="AA29" s="138">
        <f t="shared" si="11"/>
        <v>6987.458062913505</v>
      </c>
      <c r="AB29" s="138">
        <f t="shared" si="12"/>
        <v>3264.132145024871</v>
      </c>
      <c r="AC29" s="175">
        <v>404899</v>
      </c>
      <c r="AD29" s="176">
        <f t="shared" si="13"/>
        <v>0.14315483614432242</v>
      </c>
      <c r="AE29" s="176">
        <f t="shared" si="14"/>
        <v>0.22145152247844524</v>
      </c>
      <c r="AF29" s="251">
        <f t="shared" si="15"/>
        <v>1822608.77</v>
      </c>
    </row>
    <row r="30" spans="1:32" ht="11.25">
      <c r="A30" s="122" t="s">
        <v>71</v>
      </c>
      <c r="B30" s="137">
        <v>91549089</v>
      </c>
      <c r="C30" s="137">
        <v>2910697</v>
      </c>
      <c r="D30" s="137">
        <v>2577638</v>
      </c>
      <c r="E30" s="157">
        <f>4060800</f>
        <v>4060800</v>
      </c>
      <c r="F30" s="3">
        <f>SUM(C30:E30)</f>
        <v>9549135</v>
      </c>
      <c r="G30" s="140">
        <v>234872</v>
      </c>
      <c r="H30" s="140">
        <v>341729</v>
      </c>
      <c r="I30" s="173">
        <v>1201111.72</v>
      </c>
      <c r="J30" s="38">
        <f t="shared" si="7"/>
        <v>12392.694744371402</v>
      </c>
      <c r="K30" s="38">
        <f t="shared" si="8"/>
        <v>7542.930216633648</v>
      </c>
      <c r="L30" s="38">
        <f>(E30/I30)*1000</f>
        <v>3380.867851326936</v>
      </c>
      <c r="M30" s="153">
        <v>0.951</v>
      </c>
      <c r="N30" s="149">
        <v>27265</v>
      </c>
      <c r="O30" s="149">
        <v>7613.20953202997</v>
      </c>
      <c r="P30" s="149">
        <v>2726.5018197359122</v>
      </c>
      <c r="Q30" s="139">
        <v>11279</v>
      </c>
      <c r="R30" s="139">
        <v>5390</v>
      </c>
      <c r="S30" s="38">
        <v>780</v>
      </c>
      <c r="T30" s="37">
        <f t="shared" si="1"/>
        <v>28669.82124079916</v>
      </c>
      <c r="U30" s="38">
        <f t="shared" si="2"/>
        <v>8005.477951661378</v>
      </c>
      <c r="V30" s="38">
        <f t="shared" si="3"/>
        <v>2866.984037577195</v>
      </c>
      <c r="W30" s="38">
        <f t="shared" si="4"/>
        <v>11860.147213459517</v>
      </c>
      <c r="X30" s="38">
        <f t="shared" si="5"/>
        <v>5667.7181913774975</v>
      </c>
      <c r="Y30" s="38">
        <f t="shared" si="6"/>
        <v>820.1892744479495</v>
      </c>
      <c r="Z30" s="138">
        <f t="shared" si="10"/>
        <v>13031.22475748833</v>
      </c>
      <c r="AA30" s="138">
        <f t="shared" si="11"/>
        <v>7931.57751486188</v>
      </c>
      <c r="AB30" s="138">
        <f t="shared" si="12"/>
        <v>3555.066089723382</v>
      </c>
      <c r="AC30" s="175">
        <v>400822</v>
      </c>
      <c r="AD30" s="176">
        <f t="shared" si="13"/>
        <v>0.14649395492263398</v>
      </c>
      <c r="AE30" s="176">
        <f t="shared" si="14"/>
        <v>0.21314261692222483</v>
      </c>
      <c r="AF30" s="251">
        <f t="shared" si="15"/>
        <v>1777712.72</v>
      </c>
    </row>
    <row r="31" spans="1:32" ht="11.25">
      <c r="A31" s="106" t="s">
        <v>72</v>
      </c>
      <c r="B31" s="137">
        <v>86512618</v>
      </c>
      <c r="C31" s="137">
        <v>2273596</v>
      </c>
      <c r="D31" s="137">
        <v>2002701</v>
      </c>
      <c r="E31" s="157">
        <f>3366900</f>
        <v>3366900</v>
      </c>
      <c r="F31" s="3">
        <f>SUM(C31:E31)</f>
        <v>7643197</v>
      </c>
      <c r="G31" s="170">
        <v>237218</v>
      </c>
      <c r="H31" s="140">
        <v>353574</v>
      </c>
      <c r="I31" s="173">
        <v>1041668</v>
      </c>
      <c r="J31" s="38">
        <f>(C31/G31)*1000</f>
        <v>9584.416022392905</v>
      </c>
      <c r="K31" s="38">
        <f>(D31/H31)*1000</f>
        <v>5664.163654567361</v>
      </c>
      <c r="L31" s="38">
        <f>(E31/I31)*1000</f>
        <v>3232.219862758576</v>
      </c>
      <c r="M31" s="155">
        <v>0.981</v>
      </c>
      <c r="N31" s="149">
        <v>28500</v>
      </c>
      <c r="O31" s="149">
        <v>8243.909101629733</v>
      </c>
      <c r="P31" s="149">
        <v>2963.215973216203</v>
      </c>
      <c r="Q31" s="139">
        <v>13181</v>
      </c>
      <c r="R31" s="139">
        <v>6519</v>
      </c>
      <c r="S31" s="38">
        <v>1080</v>
      </c>
      <c r="T31" s="37">
        <f>N31/M31</f>
        <v>29051.987767584098</v>
      </c>
      <c r="U31" s="38">
        <f>O31/M31</f>
        <v>8403.577065881482</v>
      </c>
      <c r="V31" s="38">
        <f>P31/M31</f>
        <v>3020.6075160205946</v>
      </c>
      <c r="W31" s="38">
        <f>Q31/M31</f>
        <v>13436.289500509683</v>
      </c>
      <c r="X31" s="38">
        <f>R31/M31</f>
        <v>6645.25993883792</v>
      </c>
      <c r="Y31" s="38">
        <f>S31/M31</f>
        <v>1100.9174311926606</v>
      </c>
      <c r="Z31" s="138">
        <f>J31/M31</f>
        <v>9770.046913754235</v>
      </c>
      <c r="AA31" s="138">
        <f>K31/M31</f>
        <v>5773.867130038085</v>
      </c>
      <c r="AB31" s="138">
        <f>L31/M31</f>
        <v>3294.8214707019124</v>
      </c>
      <c r="AC31" s="175">
        <v>399050</v>
      </c>
      <c r="AD31" s="176">
        <f t="shared" si="13"/>
        <v>0.14861420874577122</v>
      </c>
      <c r="AE31" s="176">
        <f t="shared" si="14"/>
        <v>0.2215098358601679</v>
      </c>
      <c r="AF31" s="251">
        <f t="shared" si="15"/>
        <v>1632460</v>
      </c>
    </row>
    <row r="32" spans="1:32" ht="11.25">
      <c r="A32" s="106" t="s">
        <v>104</v>
      </c>
      <c r="B32" s="137">
        <v>92553278</v>
      </c>
      <c r="C32" s="137">
        <v>2378100</v>
      </c>
      <c r="D32" s="137">
        <v>2010700</v>
      </c>
      <c r="E32" s="157">
        <f>3531600</f>
        <v>3531600</v>
      </c>
      <c r="F32" s="3">
        <f>SUM(C32:E32)</f>
        <v>7920400</v>
      </c>
      <c r="G32" s="170">
        <f>G31</f>
        <v>237218</v>
      </c>
      <c r="H32" s="140">
        <v>361874</v>
      </c>
      <c r="I32" s="135">
        <f>I31</f>
        <v>1041668</v>
      </c>
      <c r="J32" s="38">
        <f t="shared" si="7"/>
        <v>10024.955947693683</v>
      </c>
      <c r="K32" s="38">
        <f t="shared" si="8"/>
        <v>5556.353869026236</v>
      </c>
      <c r="L32" s="38">
        <f>(E32/I32)*1000</f>
        <v>3390.3316603754747</v>
      </c>
      <c r="M32" s="153">
        <v>1</v>
      </c>
      <c r="N32" s="116"/>
      <c r="O32" s="116"/>
      <c r="P32" s="116"/>
      <c r="Q32" s="139">
        <v>13230</v>
      </c>
      <c r="R32" s="139">
        <v>6519</v>
      </c>
      <c r="S32" s="38">
        <v>1080</v>
      </c>
      <c r="T32" s="37"/>
      <c r="U32" s="38"/>
      <c r="V32" s="38"/>
      <c r="W32" s="38">
        <f t="shared" si="4"/>
        <v>13230</v>
      </c>
      <c r="X32" s="38">
        <f t="shared" si="5"/>
        <v>6519</v>
      </c>
      <c r="Y32" s="38">
        <f t="shared" si="6"/>
        <v>1080</v>
      </c>
      <c r="Z32" s="138">
        <f t="shared" si="10"/>
        <v>10024.955947693683</v>
      </c>
      <c r="AA32" s="138">
        <f t="shared" si="11"/>
        <v>5556.353869026236</v>
      </c>
      <c r="AB32" s="138">
        <f t="shared" si="12"/>
        <v>3390.3316603754747</v>
      </c>
      <c r="AC32" s="175">
        <v>395271</v>
      </c>
      <c r="AD32" s="176">
        <f t="shared" si="13"/>
        <v>0.15003503925155146</v>
      </c>
      <c r="AE32" s="176">
        <f t="shared" si="14"/>
        <v>0.22887715010714169</v>
      </c>
      <c r="AF32" s="251">
        <f t="shared" si="15"/>
        <v>1640760</v>
      </c>
    </row>
    <row r="33" spans="2:32" ht="11.25" customHeight="1">
      <c r="B33" s="1" t="s">
        <v>98</v>
      </c>
      <c r="C33" s="157">
        <f>C32-250000</f>
        <v>2128100</v>
      </c>
      <c r="D33" s="157">
        <f>D32-250000</f>
        <v>1760700</v>
      </c>
      <c r="E33" s="157">
        <f>E32-160000-50000-339000</f>
        <v>2982600</v>
      </c>
      <c r="F33" s="3">
        <f t="shared" si="0"/>
        <v>6871400</v>
      </c>
      <c r="G33" s="141">
        <f>G32</f>
        <v>237218</v>
      </c>
      <c r="H33" s="161">
        <f>H32</f>
        <v>361874</v>
      </c>
      <c r="I33" s="161">
        <f>I32*0.94</f>
        <v>979167.9199999999</v>
      </c>
      <c r="J33" s="38">
        <f>(C33/G33)*1000</f>
        <v>8971.073021440194</v>
      </c>
      <c r="K33" s="38">
        <f>(D33/H33)*1000</f>
        <v>4865.505673245384</v>
      </c>
      <c r="L33" s="38">
        <f>(E33/I33)*1000</f>
        <v>3046.055675516821</v>
      </c>
      <c r="M33" s="153">
        <v>1</v>
      </c>
      <c r="N33" s="116"/>
      <c r="O33" s="116"/>
      <c r="P33" s="116"/>
      <c r="Q33" s="158">
        <f>Q32+2400</f>
        <v>15630</v>
      </c>
      <c r="R33" s="158">
        <f>R32*1.091</f>
        <v>7112.228999999999</v>
      </c>
      <c r="S33" s="158">
        <v>1080</v>
      </c>
      <c r="T33" s="37"/>
      <c r="U33" s="38"/>
      <c r="V33" s="38"/>
      <c r="W33" s="38">
        <f>Q33/M33</f>
        <v>15630</v>
      </c>
      <c r="X33" s="38">
        <f>R33/M33</f>
        <v>7112.228999999999</v>
      </c>
      <c r="Y33" s="38">
        <f>S33/M33</f>
        <v>1080</v>
      </c>
      <c r="Z33" s="138">
        <f>J33/M33</f>
        <v>8971.073021440194</v>
      </c>
      <c r="AA33" s="138">
        <f>K33/M33</f>
        <v>4865.505673245384</v>
      </c>
      <c r="AB33" s="138">
        <f>L33/M33</f>
        <v>3046.055675516821</v>
      </c>
      <c r="AC33" s="135">
        <f>AC32</f>
        <v>395271</v>
      </c>
      <c r="AD33" s="176">
        <f t="shared" si="13"/>
        <v>0.15003503925155146</v>
      </c>
      <c r="AE33" s="176">
        <f t="shared" si="14"/>
        <v>0.22887715010714169</v>
      </c>
      <c r="AF33" s="251">
        <f t="shared" si="15"/>
        <v>1578259.92</v>
      </c>
    </row>
    <row r="34" spans="3:25" ht="11.25">
      <c r="C34" s="135"/>
      <c r="I34" s="141">
        <f>I32-I33</f>
        <v>62500.080000000075</v>
      </c>
      <c r="M34" s="1"/>
      <c r="N34" s="116"/>
      <c r="O34" s="116"/>
      <c r="P34" s="116"/>
      <c r="Q34" s="7"/>
      <c r="R34" s="6"/>
      <c r="S34" s="6"/>
      <c r="T34" s="6"/>
      <c r="U34" s="6"/>
      <c r="V34" s="6"/>
      <c r="Y34" s="6"/>
    </row>
    <row r="35" spans="1:25" ht="11.25">
      <c r="A35" s="121" t="s">
        <v>108</v>
      </c>
      <c r="C35" s="135"/>
      <c r="M35" s="165" t="s">
        <v>131</v>
      </c>
      <c r="N35" s="116"/>
      <c r="O35" s="116"/>
      <c r="P35" s="116"/>
      <c r="Q35" s="171"/>
      <c r="R35" s="6"/>
      <c r="S35" s="6"/>
      <c r="T35" s="6"/>
      <c r="U35" s="6"/>
      <c r="V35" s="6"/>
      <c r="Y35" s="6"/>
    </row>
    <row r="36" spans="1:16" ht="11.25">
      <c r="A36" s="123" t="s">
        <v>110</v>
      </c>
      <c r="M36" s="116"/>
      <c r="N36" s="150" t="s">
        <v>102</v>
      </c>
      <c r="O36" s="116"/>
      <c r="P36" s="116"/>
    </row>
    <row r="37" spans="1:28" ht="11.25">
      <c r="A37" s="159" t="s">
        <v>113</v>
      </c>
      <c r="M37" s="116"/>
      <c r="N37" s="116"/>
      <c r="O37" s="116"/>
      <c r="P37" s="116"/>
      <c r="Z37" s="169"/>
      <c r="AA37" s="133"/>
      <c r="AB37" s="133"/>
    </row>
    <row r="38" spans="1:28" ht="11.25">
      <c r="A38" s="1" t="s">
        <v>80</v>
      </c>
      <c r="G38" s="141"/>
      <c r="H38" s="110"/>
      <c r="I38" s="135"/>
      <c r="M38" s="116"/>
      <c r="N38" s="116"/>
      <c r="O38" s="116"/>
      <c r="P38" s="116"/>
      <c r="Z38" s="172"/>
      <c r="AA38" s="172"/>
      <c r="AB38" s="172"/>
    </row>
    <row r="39" spans="1:16" ht="11.25">
      <c r="A39" s="156" t="s">
        <v>106</v>
      </c>
      <c r="G39" s="141"/>
      <c r="H39" s="140">
        <v>209977</v>
      </c>
      <c r="I39" s="140">
        <v>331716</v>
      </c>
      <c r="K39" s="1" t="s">
        <v>114</v>
      </c>
      <c r="M39" s="116"/>
      <c r="N39" s="116"/>
      <c r="O39" s="116"/>
      <c r="P39" s="116"/>
    </row>
    <row r="40" spans="1:16" ht="11.25">
      <c r="A40" s="164" t="s">
        <v>107</v>
      </c>
      <c r="G40" s="141"/>
      <c r="H40" s="140">
        <v>221547</v>
      </c>
      <c r="I40" s="140">
        <v>339873</v>
      </c>
      <c r="J40" s="140">
        <f>I30*0.935</f>
        <v>1123039.4582</v>
      </c>
      <c r="K40" s="1" t="s">
        <v>83</v>
      </c>
      <c r="M40" s="116"/>
      <c r="N40" s="116"/>
      <c r="O40" s="116"/>
      <c r="P40" s="116"/>
    </row>
    <row r="41" spans="1:16" ht="11.25">
      <c r="A41" s="174" t="s">
        <v>82</v>
      </c>
      <c r="G41" s="141"/>
      <c r="H41" s="110"/>
      <c r="I41" s="135"/>
      <c r="M41" s="116"/>
      <c r="N41" s="116"/>
      <c r="O41" s="116"/>
      <c r="P41" s="116"/>
    </row>
    <row r="42" spans="1:16" ht="11.25">
      <c r="A42" s="160" t="s">
        <v>119</v>
      </c>
      <c r="G42" s="141"/>
      <c r="H42" s="110"/>
      <c r="I42" s="135"/>
      <c r="M42" s="116"/>
      <c r="N42" s="116"/>
      <c r="O42" s="116"/>
      <c r="P42" s="116"/>
    </row>
    <row r="43" spans="3:16" ht="11.25">
      <c r="C43" s="1" t="s">
        <v>74</v>
      </c>
      <c r="D43" s="111"/>
      <c r="F43" s="110"/>
      <c r="M43" s="116"/>
      <c r="N43" s="116"/>
      <c r="O43" s="116"/>
      <c r="P43" s="116"/>
    </row>
    <row r="44" spans="3:16" ht="11.25">
      <c r="C44" s="1" t="s">
        <v>73</v>
      </c>
      <c r="D44" s="111"/>
      <c r="F44" s="110"/>
      <c r="M44" s="116"/>
      <c r="N44" s="116"/>
      <c r="O44" s="116"/>
      <c r="P44" s="116"/>
    </row>
    <row r="45" spans="4:16" ht="11.25">
      <c r="D45" s="111"/>
      <c r="F45" s="110"/>
      <c r="M45" s="116"/>
      <c r="N45" s="116"/>
      <c r="O45" s="116"/>
      <c r="P45" s="116"/>
    </row>
    <row r="46" spans="1:16" ht="11.25">
      <c r="A46" s="1" t="s">
        <v>94</v>
      </c>
      <c r="D46" s="112"/>
      <c r="E46" s="113"/>
      <c r="F46" s="110"/>
      <c r="M46" s="116"/>
      <c r="N46" s="116"/>
      <c r="O46" s="116"/>
      <c r="P46" s="116"/>
    </row>
    <row r="47" spans="1:30" ht="11.25">
      <c r="A47" s="124" t="s">
        <v>76</v>
      </c>
      <c r="B47" s="125" t="s">
        <v>77</v>
      </c>
      <c r="C47" s="125" t="s">
        <v>78</v>
      </c>
      <c r="D47" s="126" t="s">
        <v>79</v>
      </c>
      <c r="E47" s="126" t="s">
        <v>104</v>
      </c>
      <c r="F47" s="1" t="s">
        <v>89</v>
      </c>
      <c r="M47" s="6"/>
      <c r="N47" s="6"/>
      <c r="O47" s="6"/>
      <c r="P47" s="6"/>
      <c r="AD47" s="133"/>
    </row>
    <row r="48" spans="1:30" ht="11.25">
      <c r="A48" s="127" t="s">
        <v>75</v>
      </c>
      <c r="B48" s="128">
        <v>87014</v>
      </c>
      <c r="C48" s="128">
        <v>91480</v>
      </c>
      <c r="D48" s="129">
        <v>85937</v>
      </c>
      <c r="E48" s="129">
        <v>91300</v>
      </c>
      <c r="G48" s="1" t="s">
        <v>87</v>
      </c>
      <c r="H48" s="1" t="s">
        <v>88</v>
      </c>
      <c r="I48" s="1" t="s">
        <v>124</v>
      </c>
      <c r="M48" s="6"/>
      <c r="N48" s="6"/>
      <c r="O48" s="6"/>
      <c r="P48" s="6"/>
      <c r="AD48" s="133"/>
    </row>
    <row r="49" spans="1:30" ht="11.25">
      <c r="A49" s="127" t="s">
        <v>95</v>
      </c>
      <c r="B49" s="128">
        <v>110528</v>
      </c>
      <c r="C49" s="128">
        <v>122699</v>
      </c>
      <c r="D49" s="129">
        <v>120117</v>
      </c>
      <c r="E49" s="129"/>
      <c r="G49" s="143" t="s">
        <v>122</v>
      </c>
      <c r="H49" s="143">
        <v>0.02</v>
      </c>
      <c r="I49" s="143">
        <v>0.0384</v>
      </c>
      <c r="AD49" s="133"/>
    </row>
    <row r="50" spans="1:30" ht="12.75">
      <c r="A50" s="130" t="s">
        <v>96</v>
      </c>
      <c r="B50" s="131">
        <v>199616</v>
      </c>
      <c r="C50" s="131">
        <v>214158</v>
      </c>
      <c r="D50" s="132">
        <v>199299</v>
      </c>
      <c r="E50" s="132"/>
      <c r="F50" s="1" t="s">
        <v>92</v>
      </c>
      <c r="G50" s="142" t="s">
        <v>84</v>
      </c>
      <c r="H50" s="1" t="s">
        <v>85</v>
      </c>
      <c r="I50" s="1" t="s">
        <v>86</v>
      </c>
      <c r="AD50" s="133"/>
    </row>
    <row r="51" spans="4:10" ht="11.25">
      <c r="D51" s="110"/>
      <c r="E51" s="110">
        <v>1823516</v>
      </c>
      <c r="F51" s="1" t="s">
        <v>28</v>
      </c>
      <c r="G51" s="135">
        <v>172775</v>
      </c>
      <c r="H51" s="135">
        <f>H28</f>
        <v>363219.5</v>
      </c>
      <c r="I51" s="135">
        <v>1217198.85</v>
      </c>
      <c r="J51" s="1" t="s">
        <v>90</v>
      </c>
    </row>
    <row r="52" spans="4:9" ht="11.25">
      <c r="D52" s="110"/>
      <c r="E52" s="110">
        <v>1897197</v>
      </c>
      <c r="F52" s="1" t="s">
        <v>29</v>
      </c>
      <c r="G52" s="135">
        <f>G51*1.022</f>
        <v>176576.05000000002</v>
      </c>
      <c r="H52" s="135">
        <f>H51*1.02</f>
        <v>370483.89</v>
      </c>
      <c r="I52" s="135">
        <f>I51*(E52/E51)</f>
        <v>1266380.9950795332</v>
      </c>
    </row>
    <row r="53" spans="4:9" ht="11.25">
      <c r="D53" s="110"/>
      <c r="E53" s="110">
        <v>1969143</v>
      </c>
      <c r="F53" s="1" t="s">
        <v>71</v>
      </c>
      <c r="G53" s="135">
        <f>G52*1.022</f>
        <v>180460.72310000003</v>
      </c>
      <c r="H53" s="135">
        <f>H52*1.02</f>
        <v>377893.5678</v>
      </c>
      <c r="I53" s="135">
        <f>I52*(E53/E52)</f>
        <v>1314405.0258322658</v>
      </c>
    </row>
    <row r="54" spans="2:9" ht="12.75">
      <c r="B54"/>
      <c r="D54" s="110"/>
      <c r="E54" s="110">
        <v>2041666</v>
      </c>
      <c r="F54" s="1" t="s">
        <v>72</v>
      </c>
      <c r="G54" s="135">
        <f>G53*1.022</f>
        <v>184430.85900820003</v>
      </c>
      <c r="H54" s="135">
        <f>H53*1.02</f>
        <v>385451.43915600004</v>
      </c>
      <c r="I54" s="135">
        <f>I53*(E54/E53)</f>
        <v>1362814.2046925281</v>
      </c>
    </row>
    <row r="55" spans="2:10" ht="12.75">
      <c r="B55"/>
      <c r="D55" s="110"/>
      <c r="E55" s="110">
        <v>2060953</v>
      </c>
      <c r="F55" s="1" t="s">
        <v>104</v>
      </c>
      <c r="G55" s="135">
        <f>G54*1.022</f>
        <v>188488.33790638045</v>
      </c>
      <c r="H55" s="135">
        <f>H54*1.02</f>
        <v>393160.46793912</v>
      </c>
      <c r="I55" s="135">
        <f>I54*(E55/E54)</f>
        <v>1375688.297500022</v>
      </c>
      <c r="J55" s="1" t="s">
        <v>91</v>
      </c>
    </row>
    <row r="56" spans="2:9" ht="12.75">
      <c r="B56"/>
      <c r="E56" s="1" t="s">
        <v>123</v>
      </c>
      <c r="F56" s="1" t="s">
        <v>93</v>
      </c>
      <c r="G56" s="135"/>
      <c r="H56" s="135"/>
      <c r="I56" s="135"/>
    </row>
    <row r="57" spans="2:9" ht="12.75">
      <c r="B57"/>
      <c r="F57" s="1" t="s">
        <v>71</v>
      </c>
      <c r="G57" s="141">
        <f>($G$28-$G$51)+G53-G30</f>
        <v>-1146.276899999968</v>
      </c>
      <c r="H57" s="141">
        <f aca="true" t="shared" si="16" ref="H57:I59">H53-H30</f>
        <v>36164.56780000002</v>
      </c>
      <c r="I57" s="141">
        <f t="shared" si="16"/>
        <v>113293.30583226588</v>
      </c>
    </row>
    <row r="58" spans="2:9" ht="12.75">
      <c r="B58"/>
      <c r="F58" s="1" t="s">
        <v>72</v>
      </c>
      <c r="G58" s="141">
        <f>($G$28-$G$51)+G54-G31</f>
        <v>477.8590082000301</v>
      </c>
      <c r="H58" s="135">
        <f t="shared" si="16"/>
        <v>31877.439156000037</v>
      </c>
      <c r="I58" s="135">
        <f t="shared" si="16"/>
        <v>321146.2046925281</v>
      </c>
    </row>
    <row r="59" spans="2:9" ht="12.75">
      <c r="B59"/>
      <c r="F59" s="1" t="s">
        <v>104</v>
      </c>
      <c r="G59" s="141">
        <f>($G$28-$G$51)+G55-G32</f>
        <v>4535.337906380446</v>
      </c>
      <c r="H59" s="135">
        <f t="shared" si="16"/>
        <v>31286.46793912002</v>
      </c>
      <c r="I59" s="135">
        <f t="shared" si="16"/>
        <v>334020.297500022</v>
      </c>
    </row>
    <row r="60" spans="2:9" ht="12.75">
      <c r="B60"/>
      <c r="F60" s="1" t="s">
        <v>133</v>
      </c>
      <c r="G60" s="141">
        <f>G59</f>
        <v>4535.337906380446</v>
      </c>
      <c r="H60" s="141">
        <f>H59</f>
        <v>31286.46793912002</v>
      </c>
      <c r="I60" s="141">
        <f>I55-I33</f>
        <v>396520.37750002206</v>
      </c>
    </row>
    <row r="61" ht="12.75">
      <c r="B61"/>
    </row>
  </sheetData>
  <sheetProtection/>
  <mergeCells count="24">
    <mergeCell ref="AC1:AC3"/>
    <mergeCell ref="AD1:AD3"/>
    <mergeCell ref="AE1:AE3"/>
    <mergeCell ref="V2:V3"/>
    <mergeCell ref="T1:Y1"/>
    <mergeCell ref="Z1:AB2"/>
    <mergeCell ref="W2:W3"/>
    <mergeCell ref="A1:A3"/>
    <mergeCell ref="G1:I2"/>
    <mergeCell ref="J1:L2"/>
    <mergeCell ref="B1:B3"/>
    <mergeCell ref="C1:F2"/>
    <mergeCell ref="U2:U3"/>
    <mergeCell ref="R2:R3"/>
    <mergeCell ref="S2:S3"/>
    <mergeCell ref="Q2:Q3"/>
    <mergeCell ref="M1:M3"/>
    <mergeCell ref="N2:N3"/>
    <mergeCell ref="O2:O3"/>
    <mergeCell ref="X2:X3"/>
    <mergeCell ref="Y2:Y3"/>
    <mergeCell ref="N1:S1"/>
    <mergeCell ref="P2:P3"/>
    <mergeCell ref="T2:T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">
      <selection activeCell="A18" sqref="A18:S30"/>
    </sheetView>
  </sheetViews>
  <sheetFormatPr defaultColWidth="9.140625" defaultRowHeight="12.75"/>
  <cols>
    <col min="1" max="1" width="17.421875" style="28" customWidth="1"/>
    <col min="2" max="3" width="6.57421875" style="28" customWidth="1"/>
    <col min="4" max="4" width="6.28125" style="28" customWidth="1"/>
    <col min="5" max="5" width="7.00390625" style="28" customWidth="1"/>
    <col min="6" max="6" width="7.7109375" style="28" customWidth="1"/>
    <col min="7" max="7" width="6.140625" style="28" customWidth="1"/>
    <col min="8" max="8" width="6.57421875" style="28" customWidth="1"/>
    <col min="9" max="9" width="6.140625" style="28" customWidth="1"/>
    <col min="10" max="10" width="5.7109375" style="28" customWidth="1"/>
    <col min="11" max="11" width="6.8515625" style="28" customWidth="1"/>
    <col min="12" max="12" width="7.00390625" style="28" customWidth="1"/>
    <col min="13" max="13" width="6.140625" style="28" customWidth="1"/>
    <col min="14" max="14" width="7.8515625" style="28" customWidth="1"/>
    <col min="15" max="15" width="5.421875" style="28" customWidth="1"/>
    <col min="16" max="18" width="6.140625" style="28" customWidth="1"/>
    <col min="19" max="19" width="6.7109375" style="28" customWidth="1"/>
    <col min="20" max="16384" width="9.140625" style="28" customWidth="1"/>
  </cols>
  <sheetData>
    <row r="1" spans="1:19" ht="12" thickBot="1">
      <c r="A1" s="205" t="s">
        <v>134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7"/>
      <c r="P1" s="216"/>
      <c r="Q1" s="216"/>
      <c r="R1" s="216"/>
      <c r="S1" s="206"/>
    </row>
    <row r="2" spans="1:19" ht="12" thickBot="1">
      <c r="A2" s="107"/>
      <c r="B2" s="218" t="s">
        <v>1</v>
      </c>
      <c r="C2" s="219"/>
      <c r="D2" s="219"/>
      <c r="E2" s="219"/>
      <c r="F2" s="219"/>
      <c r="G2" s="220"/>
      <c r="H2" s="218" t="s">
        <v>2</v>
      </c>
      <c r="I2" s="219"/>
      <c r="J2" s="219"/>
      <c r="K2" s="219"/>
      <c r="L2" s="219"/>
      <c r="M2" s="220"/>
      <c r="N2" s="218" t="s">
        <v>3</v>
      </c>
      <c r="O2" s="219"/>
      <c r="P2" s="219"/>
      <c r="Q2" s="219"/>
      <c r="R2" s="220"/>
      <c r="S2" s="108"/>
    </row>
    <row r="3" spans="1:19" ht="22.5" customHeight="1" thickBot="1">
      <c r="A3" s="8"/>
      <c r="B3" s="213" t="s">
        <v>32</v>
      </c>
      <c r="C3" s="205" t="s">
        <v>66</v>
      </c>
      <c r="D3" s="206"/>
      <c r="E3" s="213" t="s">
        <v>47</v>
      </c>
      <c r="F3" s="207" t="s">
        <v>65</v>
      </c>
      <c r="G3" s="209" t="s">
        <v>33</v>
      </c>
      <c r="H3" s="213" t="s">
        <v>32</v>
      </c>
      <c r="I3" s="205" t="s">
        <v>66</v>
      </c>
      <c r="J3" s="206"/>
      <c r="K3" s="207" t="s">
        <v>47</v>
      </c>
      <c r="L3" s="207" t="s">
        <v>65</v>
      </c>
      <c r="M3" s="209" t="s">
        <v>33</v>
      </c>
      <c r="N3" s="213" t="s">
        <v>32</v>
      </c>
      <c r="O3" s="213" t="s">
        <v>66</v>
      </c>
      <c r="P3" s="213" t="s">
        <v>47</v>
      </c>
      <c r="Q3" s="207" t="s">
        <v>65</v>
      </c>
      <c r="R3" s="209" t="s">
        <v>33</v>
      </c>
      <c r="S3" s="211" t="s">
        <v>34</v>
      </c>
    </row>
    <row r="4" spans="1:19" ht="24" customHeight="1" thickBot="1">
      <c r="A4" s="80"/>
      <c r="B4" s="214"/>
      <c r="C4" s="79" t="s">
        <v>41</v>
      </c>
      <c r="D4" s="79" t="s">
        <v>42</v>
      </c>
      <c r="E4" s="214"/>
      <c r="F4" s="208"/>
      <c r="G4" s="208"/>
      <c r="H4" s="214"/>
      <c r="I4" s="105" t="s">
        <v>41</v>
      </c>
      <c r="J4" s="79" t="s">
        <v>42</v>
      </c>
      <c r="K4" s="208"/>
      <c r="L4" s="208"/>
      <c r="M4" s="210"/>
      <c r="N4" s="214"/>
      <c r="O4" s="215"/>
      <c r="P4" s="214"/>
      <c r="Q4" s="210"/>
      <c r="R4" s="210"/>
      <c r="S4" s="212"/>
    </row>
    <row r="5" spans="1:19" ht="12" thickBot="1">
      <c r="A5" s="78" t="s">
        <v>35</v>
      </c>
      <c r="B5" s="81">
        <f>+'Raw Data'!G20</f>
        <v>183355</v>
      </c>
      <c r="C5" s="82">
        <f>+'Raw Data'!Q20</f>
        <v>3964</v>
      </c>
      <c r="D5" s="82">
        <f>+C5*(1-$B$12)</f>
        <v>2655.8799999999997</v>
      </c>
      <c r="E5" s="83">
        <f>+G5/B5*1000000</f>
        <v>17406.74647541654</v>
      </c>
      <c r="F5" s="83">
        <f>+D5+E5</f>
        <v>20062.626475416542</v>
      </c>
      <c r="G5" s="84">
        <f>+'Raw Data'!C20/1000</f>
        <v>3191.614</v>
      </c>
      <c r="H5" s="81">
        <f>+'Raw Data'!H20</f>
        <v>287021.4</v>
      </c>
      <c r="I5" s="19">
        <f>+'Raw Data'!R20</f>
        <v>1839</v>
      </c>
      <c r="J5" s="82">
        <f>+I5*(1-$B$12)</f>
        <v>1232.1299999999999</v>
      </c>
      <c r="K5" s="83">
        <f>+M5/H5*1000000</f>
        <v>8462.755738770698</v>
      </c>
      <c r="L5" s="83">
        <f>+J5+K5</f>
        <v>9694.885738770698</v>
      </c>
      <c r="M5" s="84">
        <f>+'Raw Data'!D20/1000</f>
        <v>2428.992</v>
      </c>
      <c r="N5" s="81">
        <f>+'Raw Data'!I20</f>
        <v>961560.75</v>
      </c>
      <c r="O5" s="91">
        <f>+'Raw Data'!S20</f>
        <v>330</v>
      </c>
      <c r="P5" s="83">
        <f>+R5/N5*1000000</f>
        <v>2856.3416300010163</v>
      </c>
      <c r="Q5" s="83">
        <f>+O5+P5</f>
        <v>3186.3416300010163</v>
      </c>
      <c r="R5" s="84">
        <f>+'Raw Data'!E20/1000</f>
        <v>2746.546</v>
      </c>
      <c r="S5" s="85">
        <f aca="true" t="shared" si="0" ref="S5:S11">+G5+M5+R5</f>
        <v>8367.152</v>
      </c>
    </row>
    <row r="6" spans="1:19" ht="12" thickBot="1">
      <c r="A6" s="78" t="s">
        <v>116</v>
      </c>
      <c r="B6" s="86">
        <f>+B5</f>
        <v>183355</v>
      </c>
      <c r="C6" s="87">
        <f>+C5/'Raw Data'!M20</f>
        <v>5278.295605858855</v>
      </c>
      <c r="D6" s="87">
        <f>+C6*(1-$B$12)</f>
        <v>3536.4580559254327</v>
      </c>
      <c r="E6" s="19">
        <f>+G6/B6*1000000</f>
        <v>23178.091178983414</v>
      </c>
      <c r="F6" s="19">
        <f>+D6+E6</f>
        <v>26714.549234908845</v>
      </c>
      <c r="G6" s="20">
        <f>+G5/'Raw Data'!M20</f>
        <v>4249.818908122504</v>
      </c>
      <c r="H6" s="86">
        <f>+H5</f>
        <v>287021.4</v>
      </c>
      <c r="I6" s="19">
        <f>+I5/'Raw Data'!M20</f>
        <v>2448.7350199733687</v>
      </c>
      <c r="J6" s="87">
        <f>+I6*(1-$B$12)</f>
        <v>1640.6524633821568</v>
      </c>
      <c r="K6" s="19">
        <f>+M6/H6*1000000</f>
        <v>11268.649452424364</v>
      </c>
      <c r="L6" s="19">
        <f>+J6+K6</f>
        <v>12909.301915806522</v>
      </c>
      <c r="M6" s="20">
        <f>+M5/'Raw Data'!M20</f>
        <v>3234.343541944075</v>
      </c>
      <c r="N6" s="86">
        <f>+N5</f>
        <v>961560.75</v>
      </c>
      <c r="O6" s="91">
        <f>+O5/'Raw Data'!M20</f>
        <v>439.41411451398136</v>
      </c>
      <c r="P6" s="19">
        <f>+R6/N6*1000000</f>
        <v>3803.3843275646027</v>
      </c>
      <c r="Q6" s="19">
        <f>+O6+P6</f>
        <v>4242.798442078584</v>
      </c>
      <c r="R6" s="20">
        <f>+R5/'Raw Data'!M20</f>
        <v>3657.1850865512647</v>
      </c>
      <c r="S6" s="88">
        <f t="shared" si="0"/>
        <v>11141.347536617843</v>
      </c>
    </row>
    <row r="7" spans="1:19" ht="12" thickBot="1">
      <c r="A7" s="78" t="s">
        <v>115</v>
      </c>
      <c r="B7" s="86">
        <f>+'Raw Data'!G32</f>
        <v>237218</v>
      </c>
      <c r="C7" s="87">
        <f>+'Raw Data'!Q32</f>
        <v>13230</v>
      </c>
      <c r="D7" s="87">
        <f>+C7*(1-$B$12)</f>
        <v>8864.099999999999</v>
      </c>
      <c r="E7" s="19">
        <f>+G7/B7*1000000</f>
        <v>10024.955947693683</v>
      </c>
      <c r="F7" s="19">
        <f>+D7+E7</f>
        <v>18889.055947693683</v>
      </c>
      <c r="G7" s="20">
        <f>+'Raw Data'!C32/1000</f>
        <v>2378.1</v>
      </c>
      <c r="H7" s="86">
        <f>+'Raw Data'!H32</f>
        <v>361874</v>
      </c>
      <c r="I7" s="19">
        <f>+'Raw Data'!R32</f>
        <v>6519</v>
      </c>
      <c r="J7" s="87">
        <f>+I7*(1-$B$12)</f>
        <v>4367.73</v>
      </c>
      <c r="K7" s="19">
        <f>+M7/H7*1000000</f>
        <v>5556.353869026236</v>
      </c>
      <c r="L7" s="19">
        <f>+J7+K7</f>
        <v>9924.083869026235</v>
      </c>
      <c r="M7" s="20">
        <f>+'Raw Data'!D32/1000</f>
        <v>2010.7</v>
      </c>
      <c r="N7" s="86">
        <f>+'Raw Data'!I32</f>
        <v>1041668</v>
      </c>
      <c r="O7" s="91">
        <f>+'Raw Data'!S32</f>
        <v>1080</v>
      </c>
      <c r="P7" s="19">
        <f>+R7/N7*1000000</f>
        <v>3390.3316603754747</v>
      </c>
      <c r="Q7" s="19">
        <f>+O7+P7</f>
        <v>4470.331660375475</v>
      </c>
      <c r="R7" s="20">
        <f>+'Raw Data'!E32/1000</f>
        <v>3531.6</v>
      </c>
      <c r="S7" s="88">
        <f t="shared" si="0"/>
        <v>7920.4</v>
      </c>
    </row>
    <row r="8" spans="1:19" ht="45" customHeight="1" thickBot="1">
      <c r="A8" s="89" t="s">
        <v>117</v>
      </c>
      <c r="B8" s="90">
        <f>+B7</f>
        <v>237218</v>
      </c>
      <c r="C8" s="91">
        <f>+C6</f>
        <v>5278.295605858855</v>
      </c>
      <c r="D8" s="91">
        <f>+D6</f>
        <v>3536.4580559254327</v>
      </c>
      <c r="E8" s="19">
        <f>+E6</f>
        <v>23178.091178983414</v>
      </c>
      <c r="F8" s="19">
        <f>+D8+E8</f>
        <v>26714.549234908845</v>
      </c>
      <c r="G8" s="92">
        <f>+B8*E8/1000000</f>
        <v>5498.260433296087</v>
      </c>
      <c r="H8" s="90">
        <f>+H7</f>
        <v>361874</v>
      </c>
      <c r="I8" s="91">
        <f>+I6</f>
        <v>2448.7350199733687</v>
      </c>
      <c r="J8" s="91">
        <f>+J6</f>
        <v>1640.6524633821568</v>
      </c>
      <c r="K8" s="19">
        <f>+K6</f>
        <v>11268.649452424364</v>
      </c>
      <c r="L8" s="19">
        <f>+J8+K8</f>
        <v>12909.301915806522</v>
      </c>
      <c r="M8" s="92">
        <f>+H8*K8/1000000</f>
        <v>4077.8312519466144</v>
      </c>
      <c r="N8" s="90">
        <f>+N7</f>
        <v>1041668</v>
      </c>
      <c r="O8" s="91">
        <f>+O6</f>
        <v>439.41411451398136</v>
      </c>
      <c r="P8" s="19">
        <f>+P6</f>
        <v>3803.3843275646027</v>
      </c>
      <c r="Q8" s="19">
        <f>+O8+P8</f>
        <v>4242.798442078584</v>
      </c>
      <c r="R8" s="92">
        <f>+N8*P8/1000000</f>
        <v>3961.8637457255645</v>
      </c>
      <c r="S8" s="93">
        <f t="shared" si="0"/>
        <v>13537.955430968266</v>
      </c>
    </row>
    <row r="9" spans="1:19" ht="12" thickBot="1">
      <c r="A9" s="13" t="s">
        <v>36</v>
      </c>
      <c r="B9" s="94"/>
      <c r="C9" s="14"/>
      <c r="D9" s="14"/>
      <c r="E9" s="14"/>
      <c r="F9" s="14"/>
      <c r="G9" s="19">
        <f>+G8-G7</f>
        <v>3120.1604332960874</v>
      </c>
      <c r="H9" s="94"/>
      <c r="I9" s="14"/>
      <c r="J9" s="14"/>
      <c r="K9" s="14"/>
      <c r="L9" s="14"/>
      <c r="M9" s="19">
        <f>+M8-M7</f>
        <v>2067.1312519466146</v>
      </c>
      <c r="N9" s="94"/>
      <c r="O9" s="14"/>
      <c r="P9" s="14"/>
      <c r="Q9" s="14"/>
      <c r="R9" s="19">
        <f>+R8-R7</f>
        <v>430.2637457255646</v>
      </c>
      <c r="S9" s="93">
        <f t="shared" si="0"/>
        <v>5617.555430968267</v>
      </c>
    </row>
    <row r="10" spans="1:19" ht="22.5">
      <c r="A10" s="89" t="s">
        <v>37</v>
      </c>
      <c r="B10" s="86">
        <f>'Raw Data'!G59</f>
        <v>4535.337906380446</v>
      </c>
      <c r="C10" s="18"/>
      <c r="D10" s="18"/>
      <c r="E10" s="19">
        <f>+E8</f>
        <v>23178.091178983414</v>
      </c>
      <c r="F10" s="19"/>
      <c r="G10" s="92">
        <f>+B10*E10/1000000</f>
        <v>105.12047552158572</v>
      </c>
      <c r="H10" s="86">
        <f>'Raw Data'!H59</f>
        <v>31286.46793912002</v>
      </c>
      <c r="I10" s="18"/>
      <c r="J10" s="18"/>
      <c r="K10" s="19">
        <f>+K8</f>
        <v>11268.649452424364</v>
      </c>
      <c r="L10" s="19"/>
      <c r="M10" s="92">
        <f>+H10*K10/1000000</f>
        <v>352.5562398104572</v>
      </c>
      <c r="N10" s="86">
        <f>'Raw Data'!I59</f>
        <v>334020.297500022</v>
      </c>
      <c r="O10" s="18"/>
      <c r="P10" s="19">
        <f>+P8</f>
        <v>3803.3843275646027</v>
      </c>
      <c r="Q10" s="19"/>
      <c r="R10" s="92">
        <f>+N10*P10/1000000</f>
        <v>1270.4075646000497</v>
      </c>
      <c r="S10" s="93">
        <f t="shared" si="0"/>
        <v>1728.0842799320926</v>
      </c>
    </row>
    <row r="11" spans="1:19" ht="12" thickBot="1">
      <c r="A11" s="95" t="s">
        <v>36</v>
      </c>
      <c r="B11" s="96"/>
      <c r="C11" s="96"/>
      <c r="D11" s="96"/>
      <c r="E11" s="97"/>
      <c r="F11" s="97"/>
      <c r="G11" s="98">
        <f>+G9+G10</f>
        <v>3225.280908817673</v>
      </c>
      <c r="H11" s="96"/>
      <c r="I11" s="96"/>
      <c r="J11" s="96"/>
      <c r="K11" s="97"/>
      <c r="L11" s="97"/>
      <c r="M11" s="98">
        <f>+M9+M10</f>
        <v>2419.6874917570717</v>
      </c>
      <c r="N11" s="97"/>
      <c r="O11" s="97"/>
      <c r="P11" s="97"/>
      <c r="Q11" s="97"/>
      <c r="R11" s="98">
        <f>+R9+R10</f>
        <v>1700.6713103256143</v>
      </c>
      <c r="S11" s="99">
        <f t="shared" si="0"/>
        <v>7345.639710900359</v>
      </c>
    </row>
    <row r="12" spans="1:20" ht="11.25">
      <c r="A12" s="100" t="s">
        <v>125</v>
      </c>
      <c r="B12" s="101">
        <v>0.33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3"/>
      <c r="T12" s="29"/>
    </row>
    <row r="13" spans="1:20" ht="11.25">
      <c r="A13" s="114" t="s">
        <v>99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29"/>
    </row>
    <row r="14" spans="1:20" ht="11.25">
      <c r="A14" s="114"/>
      <c r="B14" s="114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29"/>
    </row>
    <row r="15" spans="1:20" ht="11.25">
      <c r="A15" s="14"/>
      <c r="B15" s="20"/>
      <c r="C15" s="19"/>
      <c r="T15" s="29"/>
    </row>
    <row r="16" spans="1:20" ht="15.75">
      <c r="A16" s="249" t="s">
        <v>132</v>
      </c>
      <c r="B16" s="20"/>
      <c r="C16" s="19"/>
      <c r="T16" s="29"/>
    </row>
    <row r="17" spans="1:20" ht="12" thickBot="1">
      <c r="A17" s="14"/>
      <c r="B17" s="19"/>
      <c r="C17" s="19"/>
      <c r="T17" s="29"/>
    </row>
    <row r="18" spans="1:19" ht="12" thickBot="1">
      <c r="A18" s="205" t="s">
        <v>135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7"/>
      <c r="P18" s="216"/>
      <c r="Q18" s="216"/>
      <c r="R18" s="216"/>
      <c r="S18" s="206"/>
    </row>
    <row r="19" spans="1:19" ht="12" thickBot="1">
      <c r="A19" s="107"/>
      <c r="B19" s="218" t="s">
        <v>1</v>
      </c>
      <c r="C19" s="219"/>
      <c r="D19" s="219"/>
      <c r="E19" s="219"/>
      <c r="F19" s="219"/>
      <c r="G19" s="220"/>
      <c r="H19" s="218" t="s">
        <v>2</v>
      </c>
      <c r="I19" s="219"/>
      <c r="J19" s="219"/>
      <c r="K19" s="219"/>
      <c r="L19" s="219"/>
      <c r="M19" s="220"/>
      <c r="N19" s="218" t="s">
        <v>3</v>
      </c>
      <c r="O19" s="219"/>
      <c r="P19" s="219"/>
      <c r="Q19" s="219"/>
      <c r="R19" s="220"/>
      <c r="S19" s="108"/>
    </row>
    <row r="20" spans="1:19" ht="22.5" customHeight="1" thickBot="1">
      <c r="A20" s="8"/>
      <c r="B20" s="213" t="s">
        <v>32</v>
      </c>
      <c r="C20" s="205" t="s">
        <v>66</v>
      </c>
      <c r="D20" s="206"/>
      <c r="E20" s="213" t="s">
        <v>47</v>
      </c>
      <c r="F20" s="207" t="s">
        <v>65</v>
      </c>
      <c r="G20" s="209" t="s">
        <v>33</v>
      </c>
      <c r="H20" s="213" t="s">
        <v>32</v>
      </c>
      <c r="I20" s="205" t="s">
        <v>66</v>
      </c>
      <c r="J20" s="206"/>
      <c r="K20" s="207" t="s">
        <v>47</v>
      </c>
      <c r="L20" s="207" t="s">
        <v>65</v>
      </c>
      <c r="M20" s="209" t="s">
        <v>33</v>
      </c>
      <c r="N20" s="213" t="s">
        <v>32</v>
      </c>
      <c r="O20" s="213" t="s">
        <v>66</v>
      </c>
      <c r="P20" s="213" t="s">
        <v>47</v>
      </c>
      <c r="Q20" s="207" t="s">
        <v>65</v>
      </c>
      <c r="R20" s="209" t="s">
        <v>33</v>
      </c>
      <c r="S20" s="211" t="s">
        <v>34</v>
      </c>
    </row>
    <row r="21" spans="1:19" ht="24" customHeight="1" thickBot="1">
      <c r="A21" s="80"/>
      <c r="B21" s="214"/>
      <c r="C21" s="79" t="s">
        <v>41</v>
      </c>
      <c r="D21" s="79" t="s">
        <v>42</v>
      </c>
      <c r="E21" s="214"/>
      <c r="F21" s="208"/>
      <c r="G21" s="208"/>
      <c r="H21" s="214"/>
      <c r="I21" s="105" t="s">
        <v>41</v>
      </c>
      <c r="J21" s="79" t="s">
        <v>42</v>
      </c>
      <c r="K21" s="208"/>
      <c r="L21" s="208"/>
      <c r="M21" s="210"/>
      <c r="N21" s="214"/>
      <c r="O21" s="215"/>
      <c r="P21" s="214"/>
      <c r="Q21" s="210"/>
      <c r="R21" s="210"/>
      <c r="S21" s="212"/>
    </row>
    <row r="22" spans="1:19" ht="12" thickBot="1">
      <c r="A22" s="78" t="s">
        <v>35</v>
      </c>
      <c r="B22" s="81">
        <f>+'Raw Data'!G20</f>
        <v>183355</v>
      </c>
      <c r="C22" s="82">
        <f>+'Raw Data'!Q20</f>
        <v>3964</v>
      </c>
      <c r="D22" s="82">
        <f>+C22*(1-$B$29)</f>
        <v>2655.8799999999997</v>
      </c>
      <c r="E22" s="83">
        <f>+G22/B22*1000000</f>
        <v>17406.74647541654</v>
      </c>
      <c r="F22" s="83">
        <f>+D22+E22</f>
        <v>20062.626475416542</v>
      </c>
      <c r="G22" s="84">
        <f>+'Raw Data'!C20/1000</f>
        <v>3191.614</v>
      </c>
      <c r="H22" s="81">
        <f>+'Raw Data'!H20</f>
        <v>287021.4</v>
      </c>
      <c r="I22" s="82">
        <f>+'Raw Data'!R20</f>
        <v>1839</v>
      </c>
      <c r="J22" s="82">
        <f>+I22*(1-$B$29)</f>
        <v>1232.1299999999999</v>
      </c>
      <c r="K22" s="83">
        <f>+M22/H22*1000000</f>
        <v>8462.755738770698</v>
      </c>
      <c r="L22" s="83">
        <f>+J22+K22</f>
        <v>9694.885738770698</v>
      </c>
      <c r="M22" s="84">
        <f>+'Raw Data'!D20/1000</f>
        <v>2428.992</v>
      </c>
      <c r="N22" s="81">
        <f>+'Raw Data'!I20</f>
        <v>961560.75</v>
      </c>
      <c r="O22" s="82">
        <f>+'Raw Data'!S20</f>
        <v>330</v>
      </c>
      <c r="P22" s="83">
        <f>+R22/N22*1000000</f>
        <v>2856.3416300010163</v>
      </c>
      <c r="Q22" s="83">
        <f>+O22+P22</f>
        <v>3186.3416300010163</v>
      </c>
      <c r="R22" s="84">
        <f>+'Raw Data'!E20/1000</f>
        <v>2746.546</v>
      </c>
      <c r="S22" s="85">
        <f aca="true" t="shared" si="1" ref="S22:S28">+G22+M22+R22</f>
        <v>8367.152</v>
      </c>
    </row>
    <row r="23" spans="1:19" ht="12" thickBot="1">
      <c r="A23" s="78" t="s">
        <v>116</v>
      </c>
      <c r="B23" s="86">
        <f>B22</f>
        <v>183355</v>
      </c>
      <c r="C23" s="87">
        <f>+C22/'Raw Data'!M20</f>
        <v>5278.295605858855</v>
      </c>
      <c r="D23" s="87">
        <f>+C23*(1-$B$29)</f>
        <v>3536.4580559254327</v>
      </c>
      <c r="E23" s="19">
        <f>+G23/B23*1000000</f>
        <v>23178.091178983414</v>
      </c>
      <c r="F23" s="19">
        <f>+D23+E23</f>
        <v>26714.549234908845</v>
      </c>
      <c r="G23" s="20">
        <f>+G22/'Raw Data'!M20</f>
        <v>4249.818908122504</v>
      </c>
      <c r="H23" s="86">
        <f>+'Raw Data'!H21</f>
        <v>302904</v>
      </c>
      <c r="I23" s="87">
        <f>+I22/'Raw Data'!M20</f>
        <v>2448.7350199733687</v>
      </c>
      <c r="J23" s="87">
        <f>+I23*(1-$B$29)</f>
        <v>1640.6524633821568</v>
      </c>
      <c r="K23" s="19">
        <f>+M23/H23*1000000</f>
        <v>10677.784188865366</v>
      </c>
      <c r="L23" s="19">
        <f>+J23+K23</f>
        <v>12318.436652247523</v>
      </c>
      <c r="M23" s="20">
        <f>+M22/'Raw Data'!M20</f>
        <v>3234.343541944075</v>
      </c>
      <c r="N23" s="86">
        <f>N22</f>
        <v>961560.75</v>
      </c>
      <c r="O23" s="87">
        <f>+O22/'Raw Data'!M20</f>
        <v>439.41411451398136</v>
      </c>
      <c r="P23" s="19">
        <f>+R23/N23*1000000</f>
        <v>3803.3843275646027</v>
      </c>
      <c r="Q23" s="19">
        <f>+O23+P23</f>
        <v>4242.798442078584</v>
      </c>
      <c r="R23" s="20">
        <f>+R22/'Raw Data'!M20</f>
        <v>3657.1850865512647</v>
      </c>
      <c r="S23" s="88">
        <f t="shared" si="1"/>
        <v>11141.347536617843</v>
      </c>
    </row>
    <row r="24" spans="1:19" ht="12" thickBot="1">
      <c r="A24" s="78" t="s">
        <v>115</v>
      </c>
      <c r="B24" s="86">
        <f>+'Raw Data'!G33</f>
        <v>237218</v>
      </c>
      <c r="C24" s="87">
        <f>+'Raw Data'!Q33</f>
        <v>15630</v>
      </c>
      <c r="D24" s="87">
        <f>+C24*(1-$B$12)</f>
        <v>10472.099999999999</v>
      </c>
      <c r="E24" s="19">
        <f>+G24/B24*1000000</f>
        <v>8971.073021440194</v>
      </c>
      <c r="F24" s="19">
        <f>+D24+E24</f>
        <v>19443.17302144019</v>
      </c>
      <c r="G24" s="20">
        <f>+'Raw Data'!C33/1000</f>
        <v>2128.1</v>
      </c>
      <c r="H24" s="86">
        <f>+'Raw Data'!H33</f>
        <v>361874</v>
      </c>
      <c r="I24" s="87">
        <f>+'Raw Data'!R33</f>
        <v>7112.228999999999</v>
      </c>
      <c r="J24" s="87">
        <f>+I24*(1-$B$12)</f>
        <v>4765.193429999999</v>
      </c>
      <c r="K24" s="19">
        <f>+M24/H24*1000000</f>
        <v>4865.505673245384</v>
      </c>
      <c r="L24" s="19">
        <f>+J24+K24</f>
        <v>9630.699103245384</v>
      </c>
      <c r="M24" s="20">
        <f>+'Raw Data'!D33/1000</f>
        <v>1760.7</v>
      </c>
      <c r="N24" s="86">
        <f>+'Raw Data'!I33</f>
        <v>979167.9199999999</v>
      </c>
      <c r="O24" s="91">
        <f>+'Raw Data'!S33</f>
        <v>1080</v>
      </c>
      <c r="P24" s="19">
        <f>+R24/N24*1000000</f>
        <v>3046.0556755168204</v>
      </c>
      <c r="Q24" s="19">
        <f>+O24+P24</f>
        <v>4126.05567551682</v>
      </c>
      <c r="R24" s="20">
        <f>+'Raw Data'!E33/1000</f>
        <v>2982.6</v>
      </c>
      <c r="S24" s="88">
        <f t="shared" si="1"/>
        <v>6871.4</v>
      </c>
    </row>
    <row r="25" spans="1:19" ht="45" customHeight="1" thickBot="1">
      <c r="A25" s="89" t="s">
        <v>117</v>
      </c>
      <c r="B25" s="90">
        <f>B24</f>
        <v>237218</v>
      </c>
      <c r="C25" s="91">
        <f>C23</f>
        <v>5278.295605858855</v>
      </c>
      <c r="D25" s="91">
        <f>D23</f>
        <v>3536.4580559254327</v>
      </c>
      <c r="E25" s="19">
        <f>E23</f>
        <v>23178.091178983414</v>
      </c>
      <c r="F25" s="19">
        <f>+D25+E25</f>
        <v>26714.549234908845</v>
      </c>
      <c r="G25" s="92">
        <f>+B25*E25/1000000</f>
        <v>5498.260433296087</v>
      </c>
      <c r="H25" s="90">
        <f>+H24</f>
        <v>361874</v>
      </c>
      <c r="I25" s="91">
        <f>+I23</f>
        <v>2448.7350199733687</v>
      </c>
      <c r="J25" s="91">
        <f>+J23</f>
        <v>1640.6524633821568</v>
      </c>
      <c r="K25" s="19">
        <f>+K23</f>
        <v>10677.784188865366</v>
      </c>
      <c r="L25" s="19">
        <f>+J25+K25</f>
        <v>12318.436652247523</v>
      </c>
      <c r="M25" s="92">
        <f>+H25*K25/1000000</f>
        <v>3864.012475561465</v>
      </c>
      <c r="N25" s="90">
        <f>+N24</f>
        <v>979167.9199999999</v>
      </c>
      <c r="O25" s="91">
        <f>+O23</f>
        <v>439.41411451398136</v>
      </c>
      <c r="P25" s="19">
        <f>+P23</f>
        <v>3803.3843275646027</v>
      </c>
      <c r="Q25" s="19">
        <f>+O25+P25</f>
        <v>4242.798442078584</v>
      </c>
      <c r="R25" s="92">
        <f>+N25*P25/1000000</f>
        <v>3724.1519209820303</v>
      </c>
      <c r="S25" s="93">
        <f t="shared" si="1"/>
        <v>13086.424829839583</v>
      </c>
    </row>
    <row r="26" spans="1:19" ht="12" thickBot="1">
      <c r="A26" s="13" t="s">
        <v>36</v>
      </c>
      <c r="B26" s="94"/>
      <c r="C26" s="14"/>
      <c r="D26" s="14"/>
      <c r="E26" s="14"/>
      <c r="F26" s="14"/>
      <c r="G26" s="19">
        <f>+G25-G24</f>
        <v>3370.1604332960874</v>
      </c>
      <c r="H26" s="94"/>
      <c r="I26" s="14"/>
      <c r="J26" s="14"/>
      <c r="K26" s="14"/>
      <c r="L26" s="14"/>
      <c r="M26" s="19">
        <f>+M25-M24</f>
        <v>2103.3124755614654</v>
      </c>
      <c r="N26" s="94"/>
      <c r="O26" s="14"/>
      <c r="P26" s="14"/>
      <c r="Q26" s="14"/>
      <c r="R26" s="19">
        <f>+R25-R24</f>
        <v>741.5519209820304</v>
      </c>
      <c r="S26" s="93">
        <f t="shared" si="1"/>
        <v>6215.024829839584</v>
      </c>
    </row>
    <row r="27" spans="1:19" ht="22.5">
      <c r="A27" s="89" t="s">
        <v>37</v>
      </c>
      <c r="B27" s="86">
        <f>'Raw Data'!G60</f>
        <v>4535.337906380446</v>
      </c>
      <c r="C27" s="18"/>
      <c r="D27" s="18"/>
      <c r="E27" s="19">
        <f>E25</f>
        <v>23178.091178983414</v>
      </c>
      <c r="F27" s="19"/>
      <c r="G27" s="92">
        <f>+B27*E27/1000000</f>
        <v>105.12047552158572</v>
      </c>
      <c r="H27" s="86">
        <f>'Raw Data'!H60</f>
        <v>31286.46793912002</v>
      </c>
      <c r="I27" s="18"/>
      <c r="J27" s="18"/>
      <c r="K27" s="19">
        <f>+K25</f>
        <v>10677.784188865366</v>
      </c>
      <c r="L27" s="19"/>
      <c r="M27" s="92">
        <f>+H27*K27/1000000</f>
        <v>334.0701526857789</v>
      </c>
      <c r="N27" s="86">
        <f>'Raw Data'!I60</f>
        <v>396520.37750002206</v>
      </c>
      <c r="O27" s="18"/>
      <c r="P27" s="19">
        <f>+P25</f>
        <v>3803.3843275646027</v>
      </c>
      <c r="Q27" s="19"/>
      <c r="R27" s="92">
        <f>+N27*P27/1000000</f>
        <v>1508.1193893435839</v>
      </c>
      <c r="S27" s="93">
        <f t="shared" si="1"/>
        <v>1947.3100175509485</v>
      </c>
    </row>
    <row r="28" spans="1:19" ht="12" thickBot="1">
      <c r="A28" s="95" t="s">
        <v>36</v>
      </c>
      <c r="B28" s="96"/>
      <c r="C28" s="96"/>
      <c r="D28" s="96"/>
      <c r="E28" s="97"/>
      <c r="F28" s="97"/>
      <c r="G28" s="98">
        <f>+G26+G27</f>
        <v>3475.280908817673</v>
      </c>
      <c r="H28" s="96"/>
      <c r="I28" s="96"/>
      <c r="J28" s="96"/>
      <c r="K28" s="97"/>
      <c r="L28" s="97"/>
      <c r="M28" s="98">
        <f>+M26+M27</f>
        <v>2437.382628247244</v>
      </c>
      <c r="N28" s="97"/>
      <c r="O28" s="97"/>
      <c r="P28" s="97"/>
      <c r="Q28" s="97"/>
      <c r="R28" s="98">
        <f>+R26+R27</f>
        <v>2249.6713103256143</v>
      </c>
      <c r="S28" s="99">
        <f t="shared" si="1"/>
        <v>8162.334847390532</v>
      </c>
    </row>
    <row r="29" spans="1:20" ht="11.25">
      <c r="A29" s="100" t="s">
        <v>125</v>
      </c>
      <c r="B29" s="101">
        <v>0.33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3"/>
      <c r="T29" s="29"/>
    </row>
    <row r="30" ht="11.25">
      <c r="A30" s="114" t="s">
        <v>99</v>
      </c>
    </row>
    <row r="35" spans="1:24" ht="11.2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</row>
    <row r="36" spans="1:24" ht="11.2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</row>
    <row r="37" spans="1:24" ht="11.2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</row>
    <row r="38" spans="1:24" ht="11.2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</row>
    <row r="39" spans="1:24" ht="11.2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</row>
    <row r="40" spans="1:24" ht="11.2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</row>
    <row r="41" spans="1:24" ht="11.2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</row>
    <row r="42" spans="1:24" ht="11.2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</row>
    <row r="43" spans="1:24" ht="11.2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</row>
    <row r="44" spans="1:24" ht="11.2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</row>
    <row r="45" spans="1:24" ht="11.2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</row>
    <row r="46" spans="1:24" ht="11.2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</row>
    <row r="47" spans="1:24" ht="11.2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</row>
    <row r="48" spans="1:24" ht="11.2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</row>
    <row r="49" spans="1:24" ht="11.2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</row>
  </sheetData>
  <sheetProtection/>
  <mergeCells count="40">
    <mergeCell ref="P20:P21"/>
    <mergeCell ref="Q20:Q21"/>
    <mergeCell ref="R20:R21"/>
    <mergeCell ref="S20:S21"/>
    <mergeCell ref="I20:J20"/>
    <mergeCell ref="K20:K21"/>
    <mergeCell ref="L20:L21"/>
    <mergeCell ref="M20:M21"/>
    <mergeCell ref="N20:N21"/>
    <mergeCell ref="O20:O21"/>
    <mergeCell ref="A18:S18"/>
    <mergeCell ref="B19:G19"/>
    <mergeCell ref="H19:M19"/>
    <mergeCell ref="N19:R19"/>
    <mergeCell ref="B20:B21"/>
    <mergeCell ref="C20:D20"/>
    <mergeCell ref="E20:E21"/>
    <mergeCell ref="F20:F21"/>
    <mergeCell ref="G20:G21"/>
    <mergeCell ref="H20:H21"/>
    <mergeCell ref="A1:S1"/>
    <mergeCell ref="B2:G2"/>
    <mergeCell ref="H2:M2"/>
    <mergeCell ref="N2:R2"/>
    <mergeCell ref="B3:B4"/>
    <mergeCell ref="N3:N4"/>
    <mergeCell ref="K3:K4"/>
    <mergeCell ref="E3:E4"/>
    <mergeCell ref="F3:F4"/>
    <mergeCell ref="H3:H4"/>
    <mergeCell ref="C3:D3"/>
    <mergeCell ref="L3:L4"/>
    <mergeCell ref="M3:M4"/>
    <mergeCell ref="S3:S4"/>
    <mergeCell ref="G3:G4"/>
    <mergeCell ref="I3:J3"/>
    <mergeCell ref="Q3:Q4"/>
    <mergeCell ref="R3:R4"/>
    <mergeCell ref="P3:P4"/>
    <mergeCell ref="O3:O4"/>
  </mergeCells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1" max="1" width="26.421875" style="0" customWidth="1"/>
    <col min="2" max="2" width="7.7109375" style="0" customWidth="1"/>
    <col min="3" max="12" width="7.140625" style="0" customWidth="1"/>
  </cols>
  <sheetData>
    <row r="1" spans="1:13" ht="13.5" thickBot="1">
      <c r="A1" s="226" t="s">
        <v>136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8"/>
      <c r="M1" s="250"/>
    </row>
    <row r="2" spans="1:12" ht="13.5" thickBot="1">
      <c r="A2" s="8"/>
      <c r="B2" s="205" t="s">
        <v>1</v>
      </c>
      <c r="C2" s="216"/>
      <c r="D2" s="216"/>
      <c r="E2" s="216"/>
      <c r="F2" s="205" t="s">
        <v>2</v>
      </c>
      <c r="G2" s="216"/>
      <c r="H2" s="216"/>
      <c r="I2" s="216"/>
      <c r="J2" s="205" t="s">
        <v>3</v>
      </c>
      <c r="K2" s="216"/>
      <c r="L2" s="206"/>
    </row>
    <row r="3" spans="1:12" ht="13.5" customHeight="1" thickBot="1">
      <c r="A3" s="12"/>
      <c r="B3" s="209" t="s">
        <v>38</v>
      </c>
      <c r="C3" s="224" t="s">
        <v>46</v>
      </c>
      <c r="D3" s="225"/>
      <c r="E3" s="209" t="s">
        <v>39</v>
      </c>
      <c r="F3" s="221" t="s">
        <v>38</v>
      </c>
      <c r="G3" s="224" t="s">
        <v>46</v>
      </c>
      <c r="H3" s="225"/>
      <c r="I3" s="209" t="s">
        <v>39</v>
      </c>
      <c r="J3" s="221" t="s">
        <v>38</v>
      </c>
      <c r="K3" s="209" t="s">
        <v>40</v>
      </c>
      <c r="L3" s="209" t="s">
        <v>39</v>
      </c>
    </row>
    <row r="4" spans="1:12" ht="13.5" thickBot="1">
      <c r="A4" s="12"/>
      <c r="B4" s="223"/>
      <c r="C4" s="60" t="s">
        <v>41</v>
      </c>
      <c r="D4" s="60" t="s">
        <v>42</v>
      </c>
      <c r="E4" s="223"/>
      <c r="F4" s="222"/>
      <c r="G4" s="60" t="s">
        <v>41</v>
      </c>
      <c r="H4" s="60" t="s">
        <v>42</v>
      </c>
      <c r="I4" s="223"/>
      <c r="J4" s="222"/>
      <c r="K4" s="223"/>
      <c r="L4" s="223"/>
    </row>
    <row r="5" spans="1:12" ht="13.5" thickBot="1">
      <c r="A5" s="61" t="s">
        <v>35</v>
      </c>
      <c r="B5" s="65">
        <f>+Reset!E5</f>
        <v>17406.74647541654</v>
      </c>
      <c r="C5" s="66">
        <f>'Raw Data'!Q20</f>
        <v>3964</v>
      </c>
      <c r="D5" s="66">
        <f>+C5*(1-$B$10)</f>
        <v>2655.8799999999997</v>
      </c>
      <c r="E5" s="66">
        <f>+B5+D5</f>
        <v>20062.626475416542</v>
      </c>
      <c r="F5" s="67">
        <f>+Reset!K5</f>
        <v>8462.755738770698</v>
      </c>
      <c r="G5" s="66">
        <f>'Raw Data'!R20</f>
        <v>1839</v>
      </c>
      <c r="H5" s="66">
        <f>+G5*(1-$B$10)</f>
        <v>1232.1299999999999</v>
      </c>
      <c r="I5" s="66">
        <f>+F5+H5</f>
        <v>9694.885738770698</v>
      </c>
      <c r="J5" s="67">
        <f>+Reset!P5</f>
        <v>2856.3416300010163</v>
      </c>
      <c r="K5" s="66">
        <f>'Raw Data'!S20</f>
        <v>330</v>
      </c>
      <c r="L5" s="68">
        <f>+J5+K5</f>
        <v>3186.3416300010163</v>
      </c>
    </row>
    <row r="6" spans="1:12" ht="13.5" thickBot="1">
      <c r="A6" s="62" t="s">
        <v>116</v>
      </c>
      <c r="B6" s="65">
        <f>+Reset!E6</f>
        <v>23178.091178983414</v>
      </c>
      <c r="C6" s="69">
        <f>C5/'Raw Data'!$M$20</f>
        <v>5278.295605858855</v>
      </c>
      <c r="D6" s="69">
        <f>+C6*(1-$B$10)</f>
        <v>3536.4580559254327</v>
      </c>
      <c r="E6" s="69">
        <f>+B6+D6</f>
        <v>26714.549234908845</v>
      </c>
      <c r="F6" s="70">
        <f>+Reset!K6</f>
        <v>11268.649452424364</v>
      </c>
      <c r="G6" s="69">
        <f>G5/'Raw Data'!$M$20</f>
        <v>2448.7350199733687</v>
      </c>
      <c r="H6" s="69">
        <f>+G6*(1-$B$10)</f>
        <v>1640.6524633821568</v>
      </c>
      <c r="I6" s="71">
        <f>+F6+H6</f>
        <v>12909.301915806522</v>
      </c>
      <c r="J6" s="69">
        <f>+Reset!P6</f>
        <v>3803.3843275646027</v>
      </c>
      <c r="K6" s="69">
        <f>K5/'Raw Data'!$M$20</f>
        <v>439.41411451398136</v>
      </c>
      <c r="L6" s="71">
        <f>+J6+K6</f>
        <v>4242.798442078584</v>
      </c>
    </row>
    <row r="7" spans="1:12" ht="13.5" thickBot="1">
      <c r="A7" s="63" t="s">
        <v>126</v>
      </c>
      <c r="B7" s="65">
        <f>+Reset!E7</f>
        <v>10024.955947693683</v>
      </c>
      <c r="C7" s="69">
        <f>'Raw Data'!Q32</f>
        <v>13230</v>
      </c>
      <c r="D7" s="69">
        <f>+C7*(1-$B$10)</f>
        <v>8864.099999999999</v>
      </c>
      <c r="E7" s="69">
        <f>+B7+D7</f>
        <v>18889.055947693683</v>
      </c>
      <c r="F7" s="70">
        <f>+Reset!K7</f>
        <v>5556.353869026236</v>
      </c>
      <c r="G7" s="69">
        <f>'Raw Data'!R32</f>
        <v>6519</v>
      </c>
      <c r="H7" s="69">
        <f>+G7*(1-$B$10)</f>
        <v>4367.73</v>
      </c>
      <c r="I7" s="71">
        <f>+F7+H7</f>
        <v>9924.083869026235</v>
      </c>
      <c r="J7" s="70">
        <f>+Reset!P7</f>
        <v>3390.3316603754747</v>
      </c>
      <c r="K7" s="69">
        <f>'Raw Data'!S32</f>
        <v>1080</v>
      </c>
      <c r="L7" s="71">
        <f>+J7+K7</f>
        <v>4470.331660375475</v>
      </c>
    </row>
    <row r="8" spans="1:12" ht="23.25" thickBot="1">
      <c r="A8" s="12" t="s">
        <v>43</v>
      </c>
      <c r="B8" s="72">
        <f>+B7</f>
        <v>10024.955947693683</v>
      </c>
      <c r="C8" s="69">
        <f>+D8/(1-$B$10)</f>
        <v>24909.84072718681</v>
      </c>
      <c r="D8" s="69">
        <f>+E8-B8</f>
        <v>16689.59328721516</v>
      </c>
      <c r="E8" s="69">
        <f>+E6</f>
        <v>26714.549234908845</v>
      </c>
      <c r="F8" s="72">
        <f>+F7</f>
        <v>5556.353869026236</v>
      </c>
      <c r="G8" s="69">
        <f>+H8/(1-$B$10)</f>
        <v>10974.549323552666</v>
      </c>
      <c r="H8" s="69">
        <f>+I8-F8</f>
        <v>7352.948046780286</v>
      </c>
      <c r="I8" s="69">
        <f>+I6</f>
        <v>12909.301915806522</v>
      </c>
      <c r="J8" s="70">
        <f>J7</f>
        <v>3390.3316603754747</v>
      </c>
      <c r="K8" s="69">
        <f>+L8-J8</f>
        <v>852.4667817031095</v>
      </c>
      <c r="L8" s="71">
        <f>+L6</f>
        <v>4242.798442078584</v>
      </c>
    </row>
    <row r="9" spans="1:12" ht="23.25" thickBot="1">
      <c r="A9" s="13" t="s">
        <v>44</v>
      </c>
      <c r="B9" s="73"/>
      <c r="C9" s="74">
        <f>+C8-C7</f>
        <v>11679.840727186809</v>
      </c>
      <c r="D9" s="75"/>
      <c r="E9" s="75"/>
      <c r="F9" s="73"/>
      <c r="G9" s="74">
        <f>+G8-G7</f>
        <v>4455.5493235526665</v>
      </c>
      <c r="H9" s="75"/>
      <c r="I9" s="75"/>
      <c r="J9" s="76"/>
      <c r="K9" s="74">
        <f>+K8-K7</f>
        <v>-227.53321829689048</v>
      </c>
      <c r="L9" s="77"/>
    </row>
    <row r="10" spans="1:12" ht="12.75">
      <c r="A10" s="14" t="s">
        <v>45</v>
      </c>
      <c r="B10" s="17">
        <v>0.33</v>
      </c>
      <c r="C10" s="17"/>
      <c r="E10" s="19"/>
      <c r="F10" s="19"/>
      <c r="G10" s="19"/>
      <c r="H10" s="19"/>
      <c r="I10" s="19"/>
      <c r="J10" s="19"/>
      <c r="L10" s="19"/>
    </row>
    <row r="11" spans="1:12" ht="12.75">
      <c r="A11" s="15"/>
      <c r="B11" s="20"/>
      <c r="C11" s="20"/>
      <c r="E11" s="16"/>
      <c r="F11" s="16"/>
      <c r="G11" s="16"/>
      <c r="H11" s="16"/>
      <c r="I11" s="16"/>
      <c r="J11" s="16"/>
      <c r="L11" s="16"/>
    </row>
    <row r="12" spans="1:12" ht="12.75">
      <c r="A12" s="14"/>
      <c r="B12" s="20"/>
      <c r="C12" s="20"/>
      <c r="D12" s="19"/>
      <c r="E12" s="20"/>
      <c r="F12" s="18"/>
      <c r="G12" s="19"/>
      <c r="H12" s="19"/>
      <c r="I12" s="20"/>
      <c r="J12" s="18"/>
      <c r="K12" s="19"/>
      <c r="L12" s="20"/>
    </row>
    <row r="13" spans="1:12" ht="16.5" thickBot="1">
      <c r="A13" s="249" t="s">
        <v>132</v>
      </c>
      <c r="B13" s="117"/>
      <c r="C13" s="20"/>
      <c r="D13" s="19"/>
      <c r="E13" s="19"/>
      <c r="F13" s="18"/>
      <c r="G13" s="19"/>
      <c r="H13" s="19"/>
      <c r="I13" s="19"/>
      <c r="J13" s="18"/>
      <c r="K13" s="19"/>
      <c r="L13" s="19"/>
    </row>
    <row r="14" spans="1:12" ht="13.5" customHeight="1" thickBot="1">
      <c r="A14" s="226" t="s">
        <v>137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8"/>
    </row>
    <row r="15" spans="1:12" ht="13.5" thickBot="1">
      <c r="A15" s="8"/>
      <c r="B15" s="205" t="s">
        <v>1</v>
      </c>
      <c r="C15" s="216"/>
      <c r="D15" s="216"/>
      <c r="E15" s="206"/>
      <c r="F15" s="205" t="s">
        <v>2</v>
      </c>
      <c r="G15" s="216"/>
      <c r="H15" s="216"/>
      <c r="I15" s="206"/>
      <c r="J15" s="205" t="s">
        <v>3</v>
      </c>
      <c r="K15" s="216"/>
      <c r="L15" s="206"/>
    </row>
    <row r="16" spans="1:12" ht="13.5" customHeight="1" thickBot="1">
      <c r="A16" s="12"/>
      <c r="B16" s="209" t="s">
        <v>38</v>
      </c>
      <c r="C16" s="224" t="s">
        <v>46</v>
      </c>
      <c r="D16" s="252"/>
      <c r="E16" s="209" t="s">
        <v>39</v>
      </c>
      <c r="F16" s="209" t="s">
        <v>38</v>
      </c>
      <c r="G16" s="224" t="s">
        <v>46</v>
      </c>
      <c r="H16" s="252"/>
      <c r="I16" s="209" t="s">
        <v>39</v>
      </c>
      <c r="J16" s="209" t="s">
        <v>38</v>
      </c>
      <c r="K16" s="209" t="s">
        <v>40</v>
      </c>
      <c r="L16" s="209" t="s">
        <v>39</v>
      </c>
    </row>
    <row r="17" spans="1:12" ht="13.5" thickBot="1">
      <c r="A17" s="12"/>
      <c r="B17" s="223"/>
      <c r="C17" s="60" t="s">
        <v>41</v>
      </c>
      <c r="D17" s="60" t="s">
        <v>42</v>
      </c>
      <c r="E17" s="223"/>
      <c r="F17" s="223"/>
      <c r="G17" s="60" t="s">
        <v>41</v>
      </c>
      <c r="H17" s="60" t="s">
        <v>42</v>
      </c>
      <c r="I17" s="223"/>
      <c r="J17" s="223"/>
      <c r="K17" s="223"/>
      <c r="L17" s="223"/>
    </row>
    <row r="18" spans="1:12" ht="13.5" thickBot="1">
      <c r="A18" s="61" t="s">
        <v>35</v>
      </c>
      <c r="B18" s="65">
        <f>+Reset!E22</f>
        <v>17406.74647541654</v>
      </c>
      <c r="C18" s="66">
        <f>'Raw Data'!Q20</f>
        <v>3964</v>
      </c>
      <c r="D18" s="66">
        <f>+C18*(1-$B$10)</f>
        <v>2655.8799999999997</v>
      </c>
      <c r="E18" s="66">
        <f>+B18+D18</f>
        <v>20062.626475416542</v>
      </c>
      <c r="F18" s="67">
        <f>+Reset!K22</f>
        <v>8462.755738770698</v>
      </c>
      <c r="G18" s="66">
        <f>'Raw Data'!R20</f>
        <v>1839</v>
      </c>
      <c r="H18" s="66">
        <f>+G18*(1-$B$10)</f>
        <v>1232.1299999999999</v>
      </c>
      <c r="I18" s="66">
        <f>+F18+H18</f>
        <v>9694.885738770698</v>
      </c>
      <c r="J18" s="67">
        <f>+Reset!P22</f>
        <v>2856.3416300010163</v>
      </c>
      <c r="K18" s="66">
        <f>'Raw Data'!S20</f>
        <v>330</v>
      </c>
      <c r="L18" s="68">
        <f>+J18+K18</f>
        <v>3186.3416300010163</v>
      </c>
    </row>
    <row r="19" spans="1:12" ht="13.5" thickBot="1">
      <c r="A19" s="62" t="s">
        <v>116</v>
      </c>
      <c r="B19" s="65">
        <f>+Reset!E23</f>
        <v>23178.091178983414</v>
      </c>
      <c r="C19" s="69">
        <f>C18/'Raw Data'!$M$20</f>
        <v>5278.295605858855</v>
      </c>
      <c r="D19" s="69">
        <f>+C19*(1-$B$10)</f>
        <v>3536.4580559254327</v>
      </c>
      <c r="E19" s="69">
        <f>+B19+D19</f>
        <v>26714.549234908845</v>
      </c>
      <c r="F19" s="70">
        <f>+Reset!K23</f>
        <v>10677.784188865366</v>
      </c>
      <c r="G19" s="69">
        <f>G18/'Raw Data'!$M$20</f>
        <v>2448.7350199733687</v>
      </c>
      <c r="H19" s="69">
        <f>+G19*(1-$B$10)</f>
        <v>1640.6524633821568</v>
      </c>
      <c r="I19" s="71">
        <f>+F19+H19</f>
        <v>12318.436652247523</v>
      </c>
      <c r="J19" s="69">
        <f>+Reset!P23</f>
        <v>3803.3843275646027</v>
      </c>
      <c r="K19" s="69">
        <f>K18/'Raw Data'!$M$20</f>
        <v>439.41411451398136</v>
      </c>
      <c r="L19" s="71">
        <f>+J19+K19</f>
        <v>4242.798442078584</v>
      </c>
    </row>
    <row r="20" spans="1:12" ht="13.5" thickBot="1">
      <c r="A20" s="63" t="s">
        <v>138</v>
      </c>
      <c r="B20" s="65">
        <f>+Reset!E24</f>
        <v>8971.073021440194</v>
      </c>
      <c r="C20" s="69">
        <f>'Raw Data'!Q32</f>
        <v>13230</v>
      </c>
      <c r="D20" s="69">
        <f>+C20*(1-$B$10)</f>
        <v>8864.099999999999</v>
      </c>
      <c r="E20" s="69">
        <f>+B20+D20</f>
        <v>17835.17302144019</v>
      </c>
      <c r="F20" s="70">
        <f>+Reset!K24</f>
        <v>4865.505673245384</v>
      </c>
      <c r="G20" s="69">
        <f>'Raw Data'!R32</f>
        <v>6519</v>
      </c>
      <c r="H20" s="69">
        <f>+G20*(1-$B$10)</f>
        <v>4367.73</v>
      </c>
      <c r="I20" s="71">
        <f>+F20+H20</f>
        <v>9233.235673245385</v>
      </c>
      <c r="J20" s="70">
        <f>+Reset!P24</f>
        <v>3046.0556755168204</v>
      </c>
      <c r="K20" s="69">
        <f>'Raw Data'!S32</f>
        <v>1080</v>
      </c>
      <c r="L20" s="71">
        <f>+J20+K20</f>
        <v>4126.05567551682</v>
      </c>
    </row>
    <row r="21" spans="1:12" ht="23.25" thickBot="1">
      <c r="A21" s="12" t="s">
        <v>43</v>
      </c>
      <c r="B21" s="72">
        <f>+B20</f>
        <v>8971.073021440194</v>
      </c>
      <c r="C21" s="69">
        <f>+D21/(1-$B$10)</f>
        <v>26482.800318609934</v>
      </c>
      <c r="D21" s="69">
        <f>+E21-B21</f>
        <v>17743.476213468653</v>
      </c>
      <c r="E21" s="69">
        <f>+E19</f>
        <v>26714.549234908845</v>
      </c>
      <c r="F21" s="72">
        <f>+F20</f>
        <v>4865.505673245384</v>
      </c>
      <c r="G21" s="69">
        <f>+H21/(1-$B$10)</f>
        <v>11123.777580600208</v>
      </c>
      <c r="H21" s="69">
        <f>+I21-F21</f>
        <v>7452.930979002139</v>
      </c>
      <c r="I21" s="69">
        <f>+I19</f>
        <v>12318.436652247523</v>
      </c>
      <c r="J21" s="70">
        <f>J20</f>
        <v>3046.0556755168204</v>
      </c>
      <c r="K21" s="69">
        <f>+L21-J21</f>
        <v>1196.7427665617638</v>
      </c>
      <c r="L21" s="71">
        <f>+L19</f>
        <v>4242.798442078584</v>
      </c>
    </row>
    <row r="22" spans="1:12" ht="23.25" thickBot="1">
      <c r="A22" s="13" t="s">
        <v>44</v>
      </c>
      <c r="B22" s="73"/>
      <c r="C22" s="74">
        <f>+C21-C20</f>
        <v>13252.800318609934</v>
      </c>
      <c r="D22" s="75"/>
      <c r="E22" s="75"/>
      <c r="F22" s="73"/>
      <c r="G22" s="74">
        <f>+G21-G20</f>
        <v>4604.777580600208</v>
      </c>
      <c r="H22" s="75"/>
      <c r="I22" s="75"/>
      <c r="J22" s="76"/>
      <c r="K22" s="74">
        <f>+K21-K20</f>
        <v>116.7427665617638</v>
      </c>
      <c r="L22" s="77"/>
    </row>
    <row r="23" spans="1:12" ht="12.75">
      <c r="A23" s="14" t="s">
        <v>45</v>
      </c>
      <c r="B23" s="17">
        <v>0.33</v>
      </c>
      <c r="C23" s="17"/>
      <c r="E23" s="19"/>
      <c r="F23" s="19"/>
      <c r="G23" s="19"/>
      <c r="H23" s="19"/>
      <c r="I23" s="19"/>
      <c r="J23" s="19"/>
      <c r="L23" s="19"/>
    </row>
  </sheetData>
  <sheetProtection/>
  <mergeCells count="26">
    <mergeCell ref="J16:J17"/>
    <mergeCell ref="K16:K17"/>
    <mergeCell ref="L16:L17"/>
    <mergeCell ref="B16:B17"/>
    <mergeCell ref="C16:D16"/>
    <mergeCell ref="E16:E17"/>
    <mergeCell ref="F16:F17"/>
    <mergeCell ref="G16:H16"/>
    <mergeCell ref="I16:I17"/>
    <mergeCell ref="A14:L14"/>
    <mergeCell ref="B15:E15"/>
    <mergeCell ref="F15:I15"/>
    <mergeCell ref="J15:L15"/>
    <mergeCell ref="A1:L1"/>
    <mergeCell ref="B2:E2"/>
    <mergeCell ref="F2:I2"/>
    <mergeCell ref="J2:L2"/>
    <mergeCell ref="F3:F4"/>
    <mergeCell ref="E3:E4"/>
    <mergeCell ref="L3:L4"/>
    <mergeCell ref="J3:J4"/>
    <mergeCell ref="K3:K4"/>
    <mergeCell ref="G3:H3"/>
    <mergeCell ref="B3:B4"/>
    <mergeCell ref="C3:D3"/>
    <mergeCell ref="I3:I4"/>
  </mergeCells>
  <printOptions/>
  <pageMargins left="0.75" right="0.75" top="1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6">
      <selection activeCell="F1" sqref="F1:H1"/>
    </sheetView>
  </sheetViews>
  <sheetFormatPr defaultColWidth="9.140625" defaultRowHeight="12.75"/>
  <cols>
    <col min="1" max="1" width="8.7109375" style="26" customWidth="1"/>
    <col min="2" max="2" width="2.28125" style="26" customWidth="1"/>
    <col min="3" max="3" width="7.00390625" style="26" customWidth="1"/>
    <col min="4" max="4" width="9.140625" style="26" customWidth="1"/>
    <col min="5" max="5" width="9.8515625" style="26" customWidth="1"/>
    <col min="6" max="6" width="9.8515625" style="26" hidden="1" customWidth="1"/>
    <col min="7" max="7" width="9.8515625" style="26" customWidth="1"/>
    <col min="8" max="8" width="12.28125" style="26" customWidth="1"/>
    <col min="9" max="9" width="8.8515625" style="26" customWidth="1"/>
    <col min="10" max="13" width="9.140625" style="26" customWidth="1"/>
    <col min="14" max="14" width="9.57421875" style="26" bestFit="1" customWidth="1"/>
    <col min="15" max="16384" width="9.140625" style="26" customWidth="1"/>
  </cols>
  <sheetData>
    <row r="1" spans="1:10" ht="12" thickBot="1">
      <c r="A1" s="21"/>
      <c r="B1" s="22"/>
      <c r="C1" s="23"/>
      <c r="D1" s="24"/>
      <c r="E1" s="25"/>
      <c r="F1" s="237">
        <f>(+Reset!S11*1000000)</f>
        <v>7345639710.900359</v>
      </c>
      <c r="G1" s="237"/>
      <c r="H1" s="238"/>
      <c r="I1" s="28" t="s">
        <v>48</v>
      </c>
      <c r="J1" s="27"/>
    </row>
    <row r="2" spans="1:10" ht="24.75" customHeight="1">
      <c r="A2" s="229" t="s">
        <v>67</v>
      </c>
      <c r="B2" s="230"/>
      <c r="C2" s="230"/>
      <c r="D2" s="230"/>
      <c r="E2" s="230"/>
      <c r="F2" s="230"/>
      <c r="G2" s="230"/>
      <c r="H2" s="230"/>
      <c r="I2" s="231"/>
      <c r="J2" s="27"/>
    </row>
    <row r="3" spans="1:10" ht="12.75" customHeight="1">
      <c r="A3" s="239" t="s">
        <v>57</v>
      </c>
      <c r="B3" s="240"/>
      <c r="C3" s="241"/>
      <c r="D3" s="247" t="s">
        <v>58</v>
      </c>
      <c r="E3" s="247" t="s">
        <v>56</v>
      </c>
      <c r="F3" s="247" t="s">
        <v>50</v>
      </c>
      <c r="G3" s="247" t="s">
        <v>59</v>
      </c>
      <c r="H3" s="247" t="s">
        <v>60</v>
      </c>
      <c r="I3" s="235" t="s">
        <v>61</v>
      </c>
      <c r="J3" s="27"/>
    </row>
    <row r="4" spans="1:10" ht="44.25" customHeight="1">
      <c r="A4" s="242"/>
      <c r="B4" s="243"/>
      <c r="C4" s="244"/>
      <c r="D4" s="248" t="s">
        <v>49</v>
      </c>
      <c r="E4" s="248"/>
      <c r="F4" s="248"/>
      <c r="G4" s="248"/>
      <c r="H4" s="248"/>
      <c r="I4" s="236"/>
      <c r="J4" s="27"/>
    </row>
    <row r="5" spans="1:10" ht="11.25">
      <c r="A5" s="35"/>
      <c r="B5" s="30" t="s">
        <v>51</v>
      </c>
      <c r="C5" s="24"/>
      <c r="D5" s="54">
        <v>222405</v>
      </c>
      <c r="E5" s="54">
        <v>5851</v>
      </c>
      <c r="F5" s="42">
        <f aca="true" t="shared" si="0" ref="F5:F60">E5/$E$61</f>
        <v>0.00011812021848824361</v>
      </c>
      <c r="G5" s="47">
        <f aca="true" t="shared" si="1" ref="G5:G61">+E5*1000/D5</f>
        <v>26.30786178368292</v>
      </c>
      <c r="H5" s="47">
        <f aca="true" t="shared" si="2" ref="H5:H36">((F5*$F$1)/D5)</f>
        <v>3.9012997351114813</v>
      </c>
      <c r="I5" s="53">
        <f>SUM(D$5:D5)/D$61</f>
        <v>0.014317293839949</v>
      </c>
      <c r="J5" s="27"/>
    </row>
    <row r="6" spans="1:10" ht="11.25">
      <c r="A6" s="36"/>
      <c r="B6" s="31" t="s">
        <v>52</v>
      </c>
      <c r="C6" s="32"/>
      <c r="D6" s="45">
        <v>3076</v>
      </c>
      <c r="E6" s="52">
        <v>0</v>
      </c>
      <c r="F6" s="46">
        <f t="shared" si="0"/>
        <v>0</v>
      </c>
      <c r="G6" s="47">
        <f t="shared" si="1"/>
        <v>0</v>
      </c>
      <c r="H6" s="47">
        <f t="shared" si="2"/>
        <v>0</v>
      </c>
      <c r="I6" s="48">
        <f>SUM(D$5:D6)/D$61</f>
        <v>0.014515310952206742</v>
      </c>
      <c r="J6" s="27"/>
    </row>
    <row r="7" spans="1:10" ht="11.25">
      <c r="A7" s="56" t="s">
        <v>63</v>
      </c>
      <c r="B7" s="33" t="s">
        <v>53</v>
      </c>
      <c r="C7" s="57" t="s">
        <v>64</v>
      </c>
      <c r="D7" s="41">
        <v>173121</v>
      </c>
      <c r="E7" s="41">
        <v>30.648</v>
      </c>
      <c r="F7" s="42">
        <f t="shared" si="0"/>
        <v>6.187230313156195E-07</v>
      </c>
      <c r="G7" s="43">
        <f t="shared" si="1"/>
        <v>0.1770322491205573</v>
      </c>
      <c r="H7" s="43">
        <f t="shared" si="2"/>
        <v>0.026252831654626888</v>
      </c>
      <c r="I7" s="44">
        <f>SUM(D$5:D7)/D$61</f>
        <v>0.025659953504603542</v>
      </c>
      <c r="J7" s="27"/>
    </row>
    <row r="8" spans="1:10" ht="11.25">
      <c r="A8" s="34">
        <v>1000</v>
      </c>
      <c r="B8" s="33" t="s">
        <v>53</v>
      </c>
      <c r="C8" s="24">
        <v>1999</v>
      </c>
      <c r="D8" s="41">
        <v>148759</v>
      </c>
      <c r="E8" s="41">
        <v>156.361</v>
      </c>
      <c r="F8" s="42">
        <f t="shared" si="0"/>
        <v>3.1566220275235442E-06</v>
      </c>
      <c r="G8" s="43">
        <f t="shared" si="1"/>
        <v>1.0511027904194032</v>
      </c>
      <c r="H8" s="43">
        <f t="shared" si="2"/>
        <v>0.15587230431556914</v>
      </c>
      <c r="I8" s="44">
        <f>SUM(D$5:D8)/D$61</f>
        <v>0.03523629537792911</v>
      </c>
      <c r="J8" s="27"/>
    </row>
    <row r="9" spans="1:10" ht="11.25">
      <c r="A9" s="34">
        <v>2000</v>
      </c>
      <c r="B9" s="33" t="s">
        <v>53</v>
      </c>
      <c r="C9" s="24">
        <v>2999</v>
      </c>
      <c r="D9" s="41">
        <v>160959</v>
      </c>
      <c r="E9" s="41">
        <v>496.56</v>
      </c>
      <c r="F9" s="42">
        <f t="shared" si="0"/>
        <v>1.0024572840971158E-05</v>
      </c>
      <c r="G9" s="43">
        <f t="shared" si="1"/>
        <v>3.0850092259519504</v>
      </c>
      <c r="H9" s="43">
        <f t="shared" si="2"/>
        <v>0.45748855513174763</v>
      </c>
      <c r="I9" s="44">
        <f>SUM(D$5:D9)/D$61</f>
        <v>0.045598010713395275</v>
      </c>
      <c r="J9" s="27"/>
    </row>
    <row r="10" spans="1:10" ht="11.25">
      <c r="A10" s="34">
        <v>3000</v>
      </c>
      <c r="B10" s="33" t="s">
        <v>53</v>
      </c>
      <c r="C10" s="24">
        <v>3999</v>
      </c>
      <c r="D10" s="41">
        <v>178598</v>
      </c>
      <c r="E10" s="41">
        <v>221.921</v>
      </c>
      <c r="F10" s="42">
        <f t="shared" si="0"/>
        <v>4.48014989012639E-06</v>
      </c>
      <c r="G10" s="43">
        <f t="shared" si="1"/>
        <v>1.242572705181469</v>
      </c>
      <c r="H10" s="43">
        <f t="shared" si="2"/>
        <v>0.18426615608068564</v>
      </c>
      <c r="I10" s="44">
        <f>SUM(D$5:D10)/D$61</f>
        <v>0.05709523445039404</v>
      </c>
      <c r="J10" s="27"/>
    </row>
    <row r="11" spans="1:10" ht="11.25">
      <c r="A11" s="34">
        <v>4000</v>
      </c>
      <c r="B11" s="33" t="s">
        <v>53</v>
      </c>
      <c r="C11" s="24">
        <v>4999</v>
      </c>
      <c r="D11" s="41">
        <v>193424</v>
      </c>
      <c r="E11" s="41">
        <v>918.627</v>
      </c>
      <c r="F11" s="42">
        <f t="shared" si="0"/>
        <v>1.8545278063442104E-05</v>
      </c>
      <c r="G11" s="43">
        <f t="shared" si="1"/>
        <v>4.74929171147324</v>
      </c>
      <c r="H11" s="43">
        <f t="shared" si="2"/>
        <v>0.7042917683043967</v>
      </c>
      <c r="I11" s="44">
        <f>SUM(D$5:D11)/D$61</f>
        <v>0.06954688006851546</v>
      </c>
      <c r="J11" s="27"/>
    </row>
    <row r="12" spans="1:10" ht="11.25">
      <c r="A12" s="34">
        <v>5000</v>
      </c>
      <c r="B12" s="33" t="s">
        <v>53</v>
      </c>
      <c r="C12" s="24">
        <v>5999</v>
      </c>
      <c r="D12" s="41">
        <v>204148</v>
      </c>
      <c r="E12" s="41">
        <v>1072.722</v>
      </c>
      <c r="F12" s="42">
        <f t="shared" si="0"/>
        <v>2.1656153993701187E-05</v>
      </c>
      <c r="G12" s="43">
        <f t="shared" si="1"/>
        <v>5.25462899465094</v>
      </c>
      <c r="H12" s="43">
        <f t="shared" si="2"/>
        <v>0.7792302876418326</v>
      </c>
      <c r="I12" s="44">
        <f>SUM(D$5:D12)/D$61</f>
        <v>0.08268888183483326</v>
      </c>
      <c r="J12" s="27"/>
    </row>
    <row r="13" spans="1:10" ht="11.25">
      <c r="A13" s="34">
        <v>6000</v>
      </c>
      <c r="B13" s="33" t="s">
        <v>53</v>
      </c>
      <c r="C13" s="24">
        <v>6999</v>
      </c>
      <c r="D13" s="41">
        <v>209682</v>
      </c>
      <c r="E13" s="41">
        <v>1366.61</v>
      </c>
      <c r="F13" s="42">
        <f t="shared" si="0"/>
        <v>2.7589176514821155E-05</v>
      </c>
      <c r="G13" s="43">
        <f t="shared" si="1"/>
        <v>6.517536078442594</v>
      </c>
      <c r="H13" s="43">
        <f t="shared" si="2"/>
        <v>0.966511911362491</v>
      </c>
      <c r="I13" s="44">
        <f>SUM(D$5:D13)/D$61</f>
        <v>0.09618713415356793</v>
      </c>
      <c r="J13" s="27"/>
    </row>
    <row r="14" spans="1:10" ht="11.25">
      <c r="A14" s="34">
        <v>7000</v>
      </c>
      <c r="B14" s="33" t="s">
        <v>53</v>
      </c>
      <c r="C14" s="24">
        <v>7999</v>
      </c>
      <c r="D14" s="41">
        <v>201671</v>
      </c>
      <c r="E14" s="41">
        <v>1405.296</v>
      </c>
      <c r="F14" s="42">
        <f t="shared" si="0"/>
        <v>2.8370171006777438E-05</v>
      </c>
      <c r="G14" s="43">
        <f t="shared" si="1"/>
        <v>6.968260186144761</v>
      </c>
      <c r="H14" s="43">
        <f t="shared" si="2"/>
        <v>1.0333516209688967</v>
      </c>
      <c r="I14" s="44">
        <f>SUM(D$5:D14)/D$61</f>
        <v>0.10916967935712162</v>
      </c>
      <c r="J14" s="27"/>
    </row>
    <row r="15" spans="1:10" ht="11.25">
      <c r="A15" s="34">
        <v>8000</v>
      </c>
      <c r="B15" s="33" t="s">
        <v>53</v>
      </c>
      <c r="C15" s="24">
        <v>8999</v>
      </c>
      <c r="D15" s="41">
        <v>228781</v>
      </c>
      <c r="E15" s="41">
        <v>1757.403</v>
      </c>
      <c r="F15" s="42">
        <f t="shared" si="0"/>
        <v>3.547852099331649E-05</v>
      </c>
      <c r="G15" s="43">
        <f t="shared" si="1"/>
        <v>7.6815950625270455</v>
      </c>
      <c r="H15" s="43">
        <f t="shared" si="2"/>
        <v>1.1391349486736997</v>
      </c>
      <c r="I15" s="44">
        <f>SUM(D$5:D15)/D$61</f>
        <v>0.12389742739334998</v>
      </c>
      <c r="J15" s="27"/>
    </row>
    <row r="16" spans="1:10" ht="11.25">
      <c r="A16" s="34">
        <v>9000</v>
      </c>
      <c r="B16" s="33" t="s">
        <v>53</v>
      </c>
      <c r="C16" s="24">
        <v>9999</v>
      </c>
      <c r="D16" s="41">
        <v>244481</v>
      </c>
      <c r="E16" s="41">
        <v>1865.65</v>
      </c>
      <c r="F16" s="42">
        <f t="shared" si="0"/>
        <v>3.766381569348687E-05</v>
      </c>
      <c r="G16" s="43">
        <f t="shared" si="1"/>
        <v>7.631063354616514</v>
      </c>
      <c r="H16" s="43">
        <f t="shared" si="2"/>
        <v>1.1316413963543561</v>
      </c>
      <c r="I16" s="44">
        <f>SUM(D$5:D16)/D$61</f>
        <v>0.13963586095052977</v>
      </c>
      <c r="J16" s="27"/>
    </row>
    <row r="17" spans="1:10" ht="11.25">
      <c r="A17" s="34">
        <v>10000</v>
      </c>
      <c r="B17" s="33" t="s">
        <v>53</v>
      </c>
      <c r="C17" s="24">
        <v>10999</v>
      </c>
      <c r="D17" s="41">
        <v>207251</v>
      </c>
      <c r="E17" s="41">
        <v>1265.021</v>
      </c>
      <c r="F17" s="42">
        <f t="shared" si="0"/>
        <v>2.553829378092914E-05</v>
      </c>
      <c r="G17" s="43">
        <f t="shared" si="1"/>
        <v>6.103811320572639</v>
      </c>
      <c r="H17" s="43">
        <f t="shared" si="2"/>
        <v>0.9051589857025191</v>
      </c>
      <c r="I17" s="44">
        <f>SUM(D$5:D17)/D$61</f>
        <v>0.15297761795070186</v>
      </c>
      <c r="J17" s="27"/>
    </row>
    <row r="18" spans="1:10" ht="11.25">
      <c r="A18" s="34">
        <v>11000</v>
      </c>
      <c r="B18" s="33" t="s">
        <v>53</v>
      </c>
      <c r="C18" s="24">
        <v>11999</v>
      </c>
      <c r="D18" s="41">
        <v>230481</v>
      </c>
      <c r="E18" s="41">
        <v>1207.419</v>
      </c>
      <c r="F18" s="42">
        <f t="shared" si="0"/>
        <v>2.4375422335815523E-05</v>
      </c>
      <c r="G18" s="43">
        <f t="shared" si="1"/>
        <v>5.238692126465956</v>
      </c>
      <c r="H18" s="43">
        <f t="shared" si="2"/>
        <v>0.7768669446936367</v>
      </c>
      <c r="I18" s="44">
        <f>SUM(D$5:D18)/D$61</f>
        <v>0.16781480327263834</v>
      </c>
      <c r="J18" s="27"/>
    </row>
    <row r="19" spans="1:10" ht="11.25">
      <c r="A19" s="34">
        <v>12000</v>
      </c>
      <c r="B19" s="33" t="s">
        <v>53</v>
      </c>
      <c r="C19" s="24">
        <v>12999</v>
      </c>
      <c r="D19" s="41">
        <v>252414</v>
      </c>
      <c r="E19" s="41">
        <v>2910.572</v>
      </c>
      <c r="F19" s="42">
        <f t="shared" si="0"/>
        <v>5.875874219206361E-05</v>
      </c>
      <c r="G19" s="43">
        <f t="shared" si="1"/>
        <v>11.530945193214322</v>
      </c>
      <c r="H19" s="43">
        <f t="shared" si="2"/>
        <v>1.7099707227355807</v>
      </c>
      <c r="I19" s="44">
        <f>SUM(D$5:D19)/D$61</f>
        <v>0.18406392270483135</v>
      </c>
      <c r="J19" s="27"/>
    </row>
    <row r="20" spans="1:10" ht="11.25">
      <c r="A20" s="34">
        <v>13000</v>
      </c>
      <c r="B20" s="33" t="s">
        <v>53</v>
      </c>
      <c r="C20" s="24">
        <v>13999</v>
      </c>
      <c r="D20" s="41">
        <v>215362</v>
      </c>
      <c r="E20" s="41">
        <v>2505.63</v>
      </c>
      <c r="F20" s="42">
        <f t="shared" si="0"/>
        <v>5.0583757144197206E-05</v>
      </c>
      <c r="G20" s="43">
        <f t="shared" si="1"/>
        <v>11.634503765752546</v>
      </c>
      <c r="H20" s="43">
        <f t="shared" si="2"/>
        <v>1.725327844303799</v>
      </c>
      <c r="I20" s="44">
        <f>SUM(D$5:D20)/D$61</f>
        <v>0.19792782430757902</v>
      </c>
      <c r="J20" s="27"/>
    </row>
    <row r="21" spans="1:10" ht="11.25">
      <c r="A21" s="34">
        <v>14000</v>
      </c>
      <c r="B21" s="33" t="s">
        <v>53</v>
      </c>
      <c r="C21" s="24">
        <v>14999</v>
      </c>
      <c r="D21" s="41">
        <v>246818</v>
      </c>
      <c r="E21" s="41">
        <v>4627.542</v>
      </c>
      <c r="F21" s="42">
        <f t="shared" si="0"/>
        <v>9.342100018860431E-05</v>
      </c>
      <c r="G21" s="43">
        <f t="shared" si="1"/>
        <v>18.748802761548994</v>
      </c>
      <c r="H21" s="43">
        <f t="shared" si="2"/>
        <v>2.780336153835789</v>
      </c>
      <c r="I21" s="44">
        <f>SUM(D$5:D21)/D$61</f>
        <v>0.2138167019451705</v>
      </c>
      <c r="J21" s="27"/>
    </row>
    <row r="22" spans="1:10" ht="11.25">
      <c r="A22" s="34">
        <v>15000</v>
      </c>
      <c r="B22" s="33" t="s">
        <v>53</v>
      </c>
      <c r="C22" s="24">
        <v>15999</v>
      </c>
      <c r="D22" s="41">
        <v>235129</v>
      </c>
      <c r="E22" s="41">
        <v>4818.497</v>
      </c>
      <c r="F22" s="42">
        <f t="shared" si="0"/>
        <v>9.727600725088812E-05</v>
      </c>
      <c r="G22" s="43">
        <f t="shared" si="1"/>
        <v>20.4929932079837</v>
      </c>
      <c r="H22" s="43">
        <f t="shared" si="2"/>
        <v>3.0389892432662706</v>
      </c>
      <c r="I22" s="44">
        <f>SUM(D$5:D22)/D$61</f>
        <v>0.22895310168120778</v>
      </c>
      <c r="J22" s="27"/>
    </row>
    <row r="23" spans="1:10" ht="11.25">
      <c r="A23" s="34">
        <v>16000</v>
      </c>
      <c r="B23" s="33" t="s">
        <v>53</v>
      </c>
      <c r="C23" s="24">
        <v>16999</v>
      </c>
      <c r="D23" s="41">
        <v>237049</v>
      </c>
      <c r="E23" s="41">
        <v>6064.106</v>
      </c>
      <c r="F23" s="42">
        <f t="shared" si="0"/>
        <v>0.000122422410811121</v>
      </c>
      <c r="G23" s="43">
        <f t="shared" si="1"/>
        <v>25.581656113293032</v>
      </c>
      <c r="H23" s="43">
        <f t="shared" si="2"/>
        <v>3.7936077450583126</v>
      </c>
      <c r="I23" s="44">
        <f>SUM(D$5:D23)/D$61</f>
        <v>0.24421310117522127</v>
      </c>
      <c r="J23" s="27"/>
    </row>
    <row r="24" spans="1:10" ht="11.25">
      <c r="A24" s="34">
        <v>17000</v>
      </c>
      <c r="B24" s="33" t="s">
        <v>53</v>
      </c>
      <c r="C24" s="24">
        <v>17999</v>
      </c>
      <c r="D24" s="41">
        <v>248625</v>
      </c>
      <c r="E24" s="41">
        <v>8679.596</v>
      </c>
      <c r="F24" s="42">
        <f t="shared" si="0"/>
        <v>0.00017522402596302944</v>
      </c>
      <c r="G24" s="43">
        <f t="shared" si="1"/>
        <v>34.91039115133233</v>
      </c>
      <c r="H24" s="43">
        <f t="shared" si="2"/>
        <v>5.177003774430829</v>
      </c>
      <c r="I24" s="44">
        <f>SUM(D$5:D24)/D$61</f>
        <v>0.26021830421003306</v>
      </c>
      <c r="J24" s="27"/>
    </row>
    <row r="25" spans="1:10" ht="11.25">
      <c r="A25" s="34">
        <v>18000</v>
      </c>
      <c r="B25" s="33" t="s">
        <v>53</v>
      </c>
      <c r="C25" s="24">
        <v>18999</v>
      </c>
      <c r="D25" s="41">
        <v>238859</v>
      </c>
      <c r="E25" s="41">
        <v>9996.009</v>
      </c>
      <c r="F25" s="42">
        <f t="shared" si="0"/>
        <v>0.00020179982346444188</v>
      </c>
      <c r="G25" s="43">
        <f t="shared" si="1"/>
        <v>41.84899459513772</v>
      </c>
      <c r="H25" s="43">
        <f t="shared" si="2"/>
        <v>6.205957476557661</v>
      </c>
      <c r="I25" s="44">
        <f>SUM(D$5:D25)/D$61</f>
        <v>0.2755948222258887</v>
      </c>
      <c r="J25" s="27"/>
    </row>
    <row r="26" spans="1:10" ht="11.25">
      <c r="A26" s="34">
        <v>19000</v>
      </c>
      <c r="B26" s="33" t="s">
        <v>53</v>
      </c>
      <c r="C26" s="24">
        <v>19999</v>
      </c>
      <c r="D26" s="41">
        <v>235059</v>
      </c>
      <c r="E26" s="41">
        <v>10799.6</v>
      </c>
      <c r="F26" s="42">
        <f t="shared" si="0"/>
        <v>0.00021802275022827478</v>
      </c>
      <c r="G26" s="43">
        <f t="shared" si="1"/>
        <v>45.94420975159428</v>
      </c>
      <c r="H26" s="43">
        <f t="shared" si="2"/>
        <v>6.813253574449503</v>
      </c>
      <c r="I26" s="44">
        <f>SUM(D$5:D26)/D$61</f>
        <v>0.29072671572074976</v>
      </c>
      <c r="J26" s="27"/>
    </row>
    <row r="27" spans="1:10" ht="11.25">
      <c r="A27" s="34">
        <v>20000</v>
      </c>
      <c r="B27" s="33" t="s">
        <v>53</v>
      </c>
      <c r="C27" s="24">
        <v>20999</v>
      </c>
      <c r="D27" s="41">
        <v>202877</v>
      </c>
      <c r="E27" s="41">
        <v>9747.586</v>
      </c>
      <c r="F27" s="42">
        <f t="shared" si="0"/>
        <v>0.0001967846501543231</v>
      </c>
      <c r="G27" s="43">
        <f t="shared" si="1"/>
        <v>48.046777111254606</v>
      </c>
      <c r="H27" s="43">
        <f t="shared" si="2"/>
        <v>7.1250518327322965</v>
      </c>
      <c r="I27" s="44">
        <f>SUM(D$5:D27)/D$61</f>
        <v>0.3037868970222823</v>
      </c>
      <c r="J27" s="27"/>
    </row>
    <row r="28" spans="1:10" ht="11.25">
      <c r="A28" s="34">
        <v>21000</v>
      </c>
      <c r="B28" s="33" t="s">
        <v>53</v>
      </c>
      <c r="C28" s="24">
        <v>21999</v>
      </c>
      <c r="D28" s="41">
        <v>204711</v>
      </c>
      <c r="E28" s="41">
        <v>11853.582</v>
      </c>
      <c r="F28" s="42">
        <f t="shared" si="0"/>
        <v>0.00023930058036375178</v>
      </c>
      <c r="G28" s="43">
        <f t="shared" si="1"/>
        <v>57.90398171080206</v>
      </c>
      <c r="H28" s="43">
        <f t="shared" si="2"/>
        <v>8.586816761001987</v>
      </c>
      <c r="I28" s="44">
        <f>SUM(D$5:D28)/D$61</f>
        <v>0.31696514184263164</v>
      </c>
      <c r="J28" s="27"/>
    </row>
    <row r="29" spans="1:10" ht="11.25">
      <c r="A29" s="34">
        <v>22000</v>
      </c>
      <c r="B29" s="33" t="s">
        <v>53</v>
      </c>
      <c r="C29" s="24">
        <v>22999</v>
      </c>
      <c r="D29" s="41">
        <v>212663</v>
      </c>
      <c r="E29" s="41">
        <v>17037.894</v>
      </c>
      <c r="F29" s="42">
        <f t="shared" si="0"/>
        <v>0.0003439616752451777</v>
      </c>
      <c r="G29" s="43">
        <f t="shared" si="1"/>
        <v>80.1168703535641</v>
      </c>
      <c r="H29" s="43">
        <f t="shared" si="2"/>
        <v>11.880856287688927</v>
      </c>
      <c r="I29" s="44">
        <f>SUM(D$5:D29)/D$61</f>
        <v>0.3306552956605992</v>
      </c>
      <c r="J29" s="27"/>
    </row>
    <row r="30" spans="1:10" ht="11.25">
      <c r="A30" s="34">
        <v>23000</v>
      </c>
      <c r="B30" s="33" t="s">
        <v>53</v>
      </c>
      <c r="C30" s="24">
        <v>23999</v>
      </c>
      <c r="D30" s="41">
        <v>211425</v>
      </c>
      <c r="E30" s="41">
        <v>21291.318</v>
      </c>
      <c r="F30" s="42">
        <f t="shared" si="0"/>
        <v>0.00042982996651216436</v>
      </c>
      <c r="G30" s="43">
        <f t="shared" si="1"/>
        <v>100.70388080879745</v>
      </c>
      <c r="H30" s="43">
        <f t="shared" si="2"/>
        <v>14.933787730621857</v>
      </c>
      <c r="I30" s="44">
        <f>SUM(D$5:D30)/D$61</f>
        <v>0.3442657533846217</v>
      </c>
      <c r="J30" s="27"/>
    </row>
    <row r="31" spans="1:10" ht="11.25">
      <c r="A31" s="34">
        <v>24000</v>
      </c>
      <c r="B31" s="33" t="s">
        <v>53</v>
      </c>
      <c r="C31" s="24">
        <v>24999</v>
      </c>
      <c r="D31" s="41">
        <v>211636</v>
      </c>
      <c r="E31" s="41">
        <v>23113.377</v>
      </c>
      <c r="F31" s="42">
        <f t="shared" si="0"/>
        <v>0.0004666137653804725</v>
      </c>
      <c r="G31" s="43">
        <f t="shared" si="1"/>
        <v>109.21287966130527</v>
      </c>
      <c r="H31" s="43">
        <f t="shared" si="2"/>
        <v>16.195621749756857</v>
      </c>
      <c r="I31" s="44">
        <f>SUM(D$5:D31)/D$61</f>
        <v>0.3578897942070467</v>
      </c>
      <c r="J31" s="27"/>
    </row>
    <row r="32" spans="1:10" ht="11.25">
      <c r="A32" s="34">
        <v>25000</v>
      </c>
      <c r="B32" s="33" t="s">
        <v>53</v>
      </c>
      <c r="C32" s="24">
        <v>25999</v>
      </c>
      <c r="D32" s="41">
        <v>200875</v>
      </c>
      <c r="E32" s="41">
        <v>22282.443</v>
      </c>
      <c r="F32" s="42">
        <f t="shared" si="0"/>
        <v>0.0004498388370555177</v>
      </c>
      <c r="G32" s="43">
        <f t="shared" si="1"/>
        <v>110.92690976975732</v>
      </c>
      <c r="H32" s="43">
        <f t="shared" si="2"/>
        <v>16.449802240100794</v>
      </c>
      <c r="I32" s="44">
        <f>SUM(D$5:D32)/D$61</f>
        <v>0.3708210970109394</v>
      </c>
      <c r="J32" s="27"/>
    </row>
    <row r="33" spans="1:10" ht="11.25">
      <c r="A33" s="34">
        <v>26000</v>
      </c>
      <c r="B33" s="33" t="s">
        <v>53</v>
      </c>
      <c r="C33" s="24">
        <v>26999</v>
      </c>
      <c r="D33" s="41">
        <v>199201</v>
      </c>
      <c r="E33" s="41">
        <v>26045.972</v>
      </c>
      <c r="F33" s="42">
        <f t="shared" si="0"/>
        <v>0.0005258171087640874</v>
      </c>
      <c r="G33" s="43">
        <f t="shared" si="1"/>
        <v>130.7522150993218</v>
      </c>
      <c r="H33" s="43">
        <f t="shared" si="2"/>
        <v>19.389777334492766</v>
      </c>
      <c r="I33" s="44">
        <f>SUM(D$5:D33)/D$61</f>
        <v>0.3836446362758466</v>
      </c>
      <c r="J33" s="27"/>
    </row>
    <row r="34" spans="1:10" ht="11.25">
      <c r="A34" s="34">
        <v>27000</v>
      </c>
      <c r="B34" s="33" t="s">
        <v>53</v>
      </c>
      <c r="C34" s="24">
        <v>27999</v>
      </c>
      <c r="D34" s="41">
        <v>174510</v>
      </c>
      <c r="E34" s="41">
        <v>26379.841</v>
      </c>
      <c r="F34" s="42">
        <f t="shared" si="0"/>
        <v>0.0005325572692881775</v>
      </c>
      <c r="G34" s="43">
        <f t="shared" si="1"/>
        <v>151.16521116268407</v>
      </c>
      <c r="H34" s="43">
        <f t="shared" si="2"/>
        <v>22.416903476086716</v>
      </c>
      <c r="I34" s="44">
        <f>SUM(D$5:D34)/D$61</f>
        <v>0.3948786955281543</v>
      </c>
      <c r="J34" s="27"/>
    </row>
    <row r="35" spans="1:10" ht="11.25">
      <c r="A35" s="34">
        <v>28000</v>
      </c>
      <c r="B35" s="33" t="s">
        <v>53</v>
      </c>
      <c r="C35" s="24">
        <v>28999</v>
      </c>
      <c r="D35" s="41">
        <v>193617</v>
      </c>
      <c r="E35" s="41">
        <v>30319.967</v>
      </c>
      <c r="F35" s="42">
        <f t="shared" si="0"/>
        <v>0.0006121006881894267</v>
      </c>
      <c r="G35" s="43">
        <f t="shared" si="1"/>
        <v>156.5976489667746</v>
      </c>
      <c r="H35" s="43">
        <f t="shared" si="2"/>
        <v>23.22250175466871</v>
      </c>
      <c r="I35" s="44">
        <f>SUM(D$5:D35)/D$61</f>
        <v>0.4073427654969473</v>
      </c>
      <c r="J35" s="27"/>
    </row>
    <row r="36" spans="1:10" ht="11.25">
      <c r="A36" s="34">
        <v>29000</v>
      </c>
      <c r="B36" s="33" t="s">
        <v>53</v>
      </c>
      <c r="C36" s="24">
        <v>29999</v>
      </c>
      <c r="D36" s="41">
        <v>167239</v>
      </c>
      <c r="E36" s="41">
        <v>29474.028</v>
      </c>
      <c r="F36" s="42">
        <f t="shared" si="0"/>
        <v>0.0005950228383333805</v>
      </c>
      <c r="G36" s="43">
        <f t="shared" si="1"/>
        <v>176.23896339968547</v>
      </c>
      <c r="H36" s="43">
        <f t="shared" si="2"/>
        <v>26.135192091284477</v>
      </c>
      <c r="I36" s="44">
        <f>SUM(D$5:D36)/D$61</f>
        <v>0.41810875504079403</v>
      </c>
      <c r="J36" s="27"/>
    </row>
    <row r="37" spans="1:10" ht="11.25">
      <c r="A37" s="34">
        <v>30000</v>
      </c>
      <c r="B37" s="33" t="s">
        <v>53</v>
      </c>
      <c r="C37" s="24">
        <v>30999</v>
      </c>
      <c r="D37" s="41">
        <v>168405</v>
      </c>
      <c r="E37" s="41">
        <v>36133.994</v>
      </c>
      <c r="F37" s="42">
        <f t="shared" si="0"/>
        <v>0.0007294744942971942</v>
      </c>
      <c r="G37" s="43">
        <f t="shared" si="1"/>
        <v>214.56604020070662</v>
      </c>
      <c r="H37" s="43">
        <f aca="true" t="shared" si="3" ref="H37:H61">((F37*$F$1)/D37)</f>
        <v>31.81887006560629</v>
      </c>
      <c r="I37" s="44">
        <f>SUM(D$5:D37)/D$61</f>
        <v>0.4289498056876617</v>
      </c>
      <c r="J37" s="27"/>
    </row>
    <row r="38" spans="1:10" ht="11.25">
      <c r="A38" s="34">
        <v>31000</v>
      </c>
      <c r="B38" s="33" t="s">
        <v>53</v>
      </c>
      <c r="C38" s="24">
        <v>31999</v>
      </c>
      <c r="D38" s="41">
        <v>177622</v>
      </c>
      <c r="E38" s="41">
        <v>39728.654</v>
      </c>
      <c r="F38" s="42">
        <f t="shared" si="0"/>
        <v>0.0008020436319815131</v>
      </c>
      <c r="G38" s="43">
        <f t="shared" si="1"/>
        <v>223.66966929772212</v>
      </c>
      <c r="H38" s="43">
        <f t="shared" si="3"/>
        <v>33.168884220187564</v>
      </c>
      <c r="I38" s="44">
        <f>SUM(D$5:D38)/D$61</f>
        <v>0.44038419954768926</v>
      </c>
      <c r="J38" s="27"/>
    </row>
    <row r="39" spans="1:10" ht="11.25">
      <c r="A39" s="34">
        <v>32000</v>
      </c>
      <c r="B39" s="33" t="s">
        <v>53</v>
      </c>
      <c r="C39" s="24">
        <v>32999</v>
      </c>
      <c r="D39" s="41">
        <v>151503</v>
      </c>
      <c r="E39" s="41">
        <v>34512.845</v>
      </c>
      <c r="F39" s="42">
        <f t="shared" si="0"/>
        <v>0.000696746674423327</v>
      </c>
      <c r="G39" s="43">
        <f t="shared" si="1"/>
        <v>227.8030468043537</v>
      </c>
      <c r="H39" s="43">
        <f t="shared" si="3"/>
        <v>33.78183956807294</v>
      </c>
      <c r="I39" s="44">
        <f>SUM(D$5:D39)/D$61</f>
        <v>0.45013718607512254</v>
      </c>
      <c r="J39" s="27"/>
    </row>
    <row r="40" spans="1:10" ht="11.25">
      <c r="A40" s="34">
        <v>33000</v>
      </c>
      <c r="B40" s="33" t="s">
        <v>53</v>
      </c>
      <c r="C40" s="24">
        <v>33999</v>
      </c>
      <c r="D40" s="41">
        <v>171398</v>
      </c>
      <c r="E40" s="41">
        <v>47736.738</v>
      </c>
      <c r="F40" s="42">
        <f t="shared" si="0"/>
        <v>0.0009637111472356932</v>
      </c>
      <c r="G40" s="43">
        <f t="shared" si="1"/>
        <v>278.513973325243</v>
      </c>
      <c r="H40" s="43">
        <f t="shared" si="3"/>
        <v>41.30196894346405</v>
      </c>
      <c r="I40" s="44">
        <f>SUM(D$5:D40)/D$61</f>
        <v>0.46117091071971045</v>
      </c>
      <c r="J40" s="27"/>
    </row>
    <row r="41" spans="1:10" ht="11.25">
      <c r="A41" s="34">
        <v>34000</v>
      </c>
      <c r="B41" s="33" t="s">
        <v>53</v>
      </c>
      <c r="C41" s="24">
        <v>34999</v>
      </c>
      <c r="D41" s="41">
        <v>152055</v>
      </c>
      <c r="E41" s="41">
        <v>49296.932</v>
      </c>
      <c r="F41" s="42">
        <f t="shared" si="0"/>
        <v>0.0009952084051683622</v>
      </c>
      <c r="G41" s="43">
        <f t="shared" si="1"/>
        <v>324.20461017395024</v>
      </c>
      <c r="H41" s="43">
        <f t="shared" si="3"/>
        <v>48.077619161662135</v>
      </c>
      <c r="I41" s="44">
        <f>SUM(D$5:D41)/D$61</f>
        <v>0.47095943217756187</v>
      </c>
      <c r="J41" s="27"/>
    </row>
    <row r="42" spans="1:10" ht="11.25">
      <c r="A42" s="34">
        <v>35000</v>
      </c>
      <c r="B42" s="33" t="s">
        <v>53</v>
      </c>
      <c r="C42" s="24">
        <v>35999</v>
      </c>
      <c r="D42" s="41">
        <v>164869</v>
      </c>
      <c r="E42" s="41">
        <v>57714.98</v>
      </c>
      <c r="F42" s="42">
        <f t="shared" si="0"/>
        <v>0.0011651522898042403</v>
      </c>
      <c r="G42" s="43">
        <f t="shared" si="1"/>
        <v>350.0656885163372</v>
      </c>
      <c r="H42" s="43">
        <f t="shared" si="3"/>
        <v>51.91266356460287</v>
      </c>
      <c r="I42" s="44">
        <f>SUM(D$5:D42)/D$61</f>
        <v>0.4815728532701567</v>
      </c>
      <c r="J42" s="27"/>
    </row>
    <row r="43" spans="1:10" ht="11.25">
      <c r="A43" s="34">
        <v>36000</v>
      </c>
      <c r="B43" s="33" t="s">
        <v>53</v>
      </c>
      <c r="C43" s="24">
        <v>36999</v>
      </c>
      <c r="D43" s="41">
        <v>159125</v>
      </c>
      <c r="E43" s="41">
        <v>56177.201</v>
      </c>
      <c r="F43" s="42">
        <f t="shared" si="0"/>
        <v>0.0011341075467745645</v>
      </c>
      <c r="G43" s="43">
        <f t="shared" si="1"/>
        <v>353.03818381775335</v>
      </c>
      <c r="H43" s="43">
        <f t="shared" si="3"/>
        <v>52.35346697262547</v>
      </c>
      <c r="I43" s="44">
        <f>SUM(D$5:D43)/D$61</f>
        <v>0.49181650508680597</v>
      </c>
      <c r="J43" s="27"/>
    </row>
    <row r="44" spans="1:10" ht="11.25">
      <c r="A44" s="34">
        <v>37000</v>
      </c>
      <c r="B44" s="33" t="s">
        <v>53</v>
      </c>
      <c r="C44" s="24">
        <v>37999</v>
      </c>
      <c r="D44" s="41">
        <v>147186</v>
      </c>
      <c r="E44" s="41">
        <v>54435.345</v>
      </c>
      <c r="F44" s="42">
        <f t="shared" si="0"/>
        <v>0.0010989428892296904</v>
      </c>
      <c r="G44" s="43">
        <f t="shared" si="1"/>
        <v>369.84050792874325</v>
      </c>
      <c r="H44" s="43">
        <f t="shared" si="3"/>
        <v>54.84515189717221</v>
      </c>
      <c r="I44" s="44">
        <f>SUM(D$5:D44)/D$61</f>
        <v>0.5012915852834146</v>
      </c>
      <c r="J44" s="27"/>
    </row>
    <row r="45" spans="1:10" ht="11.25">
      <c r="A45" s="34">
        <v>38000</v>
      </c>
      <c r="B45" s="33" t="s">
        <v>53</v>
      </c>
      <c r="C45" s="24">
        <v>38999</v>
      </c>
      <c r="D45" s="41">
        <v>135446</v>
      </c>
      <c r="E45" s="41">
        <v>60656.99</v>
      </c>
      <c r="F45" s="42">
        <f t="shared" si="0"/>
        <v>0.0012245457035787398</v>
      </c>
      <c r="G45" s="43">
        <f t="shared" si="1"/>
        <v>447.83153433840795</v>
      </c>
      <c r="H45" s="43">
        <f t="shared" si="3"/>
        <v>66.41075814730897</v>
      </c>
      <c r="I45" s="44">
        <f>SUM(D$5:D45)/D$61</f>
        <v>0.5100109044598977</v>
      </c>
      <c r="J45" s="27"/>
    </row>
    <row r="46" spans="1:10" ht="11.25">
      <c r="A46" s="34">
        <v>39000</v>
      </c>
      <c r="B46" s="33" t="s">
        <v>53</v>
      </c>
      <c r="C46" s="24">
        <v>39999</v>
      </c>
      <c r="D46" s="41">
        <v>146262</v>
      </c>
      <c r="E46" s="41">
        <v>65555.322</v>
      </c>
      <c r="F46" s="42">
        <f t="shared" si="0"/>
        <v>0.0013234334229545654</v>
      </c>
      <c r="G46" s="43">
        <f t="shared" si="1"/>
        <v>448.204742175001</v>
      </c>
      <c r="H46" s="43">
        <f t="shared" si="3"/>
        <v>66.4661026540581</v>
      </c>
      <c r="I46" s="44">
        <f>SUM(D$5:D46)/D$61</f>
        <v>0.5194265022729803</v>
      </c>
      <c r="J46" s="27"/>
    </row>
    <row r="47" spans="1:10" ht="11.25">
      <c r="A47" s="34">
        <v>40000</v>
      </c>
      <c r="B47" s="33" t="s">
        <v>53</v>
      </c>
      <c r="C47" s="24">
        <v>49999</v>
      </c>
      <c r="D47" s="41">
        <v>1221224</v>
      </c>
      <c r="E47" s="41">
        <v>709009.656</v>
      </c>
      <c r="F47" s="42">
        <f t="shared" si="0"/>
        <v>0.014313514865321215</v>
      </c>
      <c r="G47" s="43">
        <f t="shared" si="1"/>
        <v>580.5729792404996</v>
      </c>
      <c r="H47" s="43">
        <f t="shared" si="3"/>
        <v>86.09552645318641</v>
      </c>
      <c r="I47" s="44">
        <f>SUM(D$5:D47)/D$61</f>
        <v>0.598042643332749</v>
      </c>
      <c r="J47" s="27"/>
    </row>
    <row r="48" spans="1:10" ht="11.25">
      <c r="A48" s="34">
        <v>50000</v>
      </c>
      <c r="B48" s="33" t="s">
        <v>53</v>
      </c>
      <c r="C48" s="24">
        <v>59999</v>
      </c>
      <c r="D48" s="41">
        <v>920791</v>
      </c>
      <c r="E48" s="41">
        <v>874835.485</v>
      </c>
      <c r="F48" s="42">
        <f t="shared" si="0"/>
        <v>0.017661213233544446</v>
      </c>
      <c r="G48" s="43">
        <f t="shared" si="1"/>
        <v>950.0912639241695</v>
      </c>
      <c r="H48" s="43">
        <f t="shared" si="3"/>
        <v>140.8928945558797</v>
      </c>
      <c r="I48" s="44">
        <f>SUM(D$5:D48)/D$61</f>
        <v>0.6573184478883143</v>
      </c>
      <c r="J48" s="27"/>
    </row>
    <row r="49" spans="1:10" ht="11.25">
      <c r="A49" s="34">
        <v>60000</v>
      </c>
      <c r="B49" s="33" t="s">
        <v>53</v>
      </c>
      <c r="C49" s="24">
        <v>69999</v>
      </c>
      <c r="D49" s="41">
        <v>756732</v>
      </c>
      <c r="E49" s="41">
        <v>1018654.93</v>
      </c>
      <c r="F49" s="42">
        <f t="shared" si="0"/>
        <v>0.020564645854678945</v>
      </c>
      <c r="G49" s="43">
        <f t="shared" si="1"/>
        <v>1346.1237664060725</v>
      </c>
      <c r="H49" s="43">
        <f t="shared" si="3"/>
        <v>199.62216376568205</v>
      </c>
      <c r="I49" s="44">
        <f>SUM(D$5:D49)/D$61</f>
        <v>0.7060329749991808</v>
      </c>
      <c r="J49" s="27"/>
    </row>
    <row r="50" spans="1:10" ht="11.25">
      <c r="A50" s="34">
        <v>70000</v>
      </c>
      <c r="B50" s="33" t="s">
        <v>53</v>
      </c>
      <c r="C50" s="24">
        <v>79999</v>
      </c>
      <c r="D50" s="41">
        <v>606055</v>
      </c>
      <c r="E50" s="41">
        <v>1118873.601</v>
      </c>
      <c r="F50" s="42">
        <f t="shared" si="0"/>
        <v>0.022587864332737635</v>
      </c>
      <c r="G50" s="43">
        <f t="shared" si="1"/>
        <v>1846.1585186162972</v>
      </c>
      <c r="H50" s="43">
        <f t="shared" si="3"/>
        <v>273.7743492372597</v>
      </c>
      <c r="I50" s="44">
        <f>SUM(D$5:D50)/D$61</f>
        <v>0.7450476892284935</v>
      </c>
      <c r="J50" s="27"/>
    </row>
    <row r="51" spans="1:10" ht="11.25">
      <c r="A51" s="34">
        <v>80000</v>
      </c>
      <c r="B51" s="33" t="s">
        <v>53</v>
      </c>
      <c r="C51" s="24">
        <v>89999</v>
      </c>
      <c r="D51" s="41">
        <v>507840</v>
      </c>
      <c r="E51" s="41">
        <v>1141887.249</v>
      </c>
      <c r="F51" s="42">
        <f t="shared" si="0"/>
        <v>0.023052464765137486</v>
      </c>
      <c r="G51" s="43">
        <f t="shared" si="1"/>
        <v>2248.5177398393193</v>
      </c>
      <c r="H51" s="43">
        <f t="shared" si="3"/>
        <v>333.44183328001975</v>
      </c>
      <c r="I51" s="44">
        <f>SUM(D$5:D51)/D$61</f>
        <v>0.7777398252132047</v>
      </c>
      <c r="J51" s="27"/>
    </row>
    <row r="52" spans="1:10" ht="11.25">
      <c r="A52" s="34">
        <v>90000</v>
      </c>
      <c r="B52" s="33" t="s">
        <v>53</v>
      </c>
      <c r="C52" s="24">
        <v>99999</v>
      </c>
      <c r="D52" s="41">
        <v>420778</v>
      </c>
      <c r="E52" s="41">
        <v>1165959.09</v>
      </c>
      <c r="F52" s="42">
        <f t="shared" si="0"/>
        <v>0.0235384280395067</v>
      </c>
      <c r="G52" s="43">
        <f t="shared" si="1"/>
        <v>2770.9601975388446</v>
      </c>
      <c r="H52" s="43">
        <f t="shared" si="3"/>
        <v>410.91694846016406</v>
      </c>
      <c r="I52" s="44">
        <f>SUM(D$5:D52)/D$61</f>
        <v>0.8048273559224337</v>
      </c>
      <c r="J52" s="27"/>
    </row>
    <row r="53" spans="1:10" ht="11.25">
      <c r="A53" s="34">
        <v>100000</v>
      </c>
      <c r="B53" s="33" t="s">
        <v>53</v>
      </c>
      <c r="C53" s="24">
        <v>149999</v>
      </c>
      <c r="D53" s="41">
        <v>1201298</v>
      </c>
      <c r="E53" s="41">
        <v>5302548.929</v>
      </c>
      <c r="F53" s="42">
        <f t="shared" si="0"/>
        <v>0.10704806666178125</v>
      </c>
      <c r="G53" s="43">
        <f t="shared" si="1"/>
        <v>4414.016279890585</v>
      </c>
      <c r="H53" s="43">
        <f t="shared" si="3"/>
        <v>654.5724120458781</v>
      </c>
      <c r="I53" s="44">
        <f>SUM(D$5:D53)/D$61</f>
        <v>0.8821607632439554</v>
      </c>
      <c r="J53" s="27"/>
    </row>
    <row r="54" spans="1:10" ht="11.25">
      <c r="A54" s="34">
        <v>150000</v>
      </c>
      <c r="B54" s="33" t="s">
        <v>53</v>
      </c>
      <c r="C54" s="24">
        <v>199999</v>
      </c>
      <c r="D54" s="41">
        <v>491523</v>
      </c>
      <c r="E54" s="41">
        <v>3992509.76</v>
      </c>
      <c r="F54" s="42">
        <f t="shared" si="0"/>
        <v>0.08060094431168091</v>
      </c>
      <c r="G54" s="43">
        <f t="shared" si="1"/>
        <v>8122.732323818011</v>
      </c>
      <c r="H54" s="43">
        <f t="shared" si="3"/>
        <v>1204.5529858662803</v>
      </c>
      <c r="I54" s="44">
        <f>SUM(D$5:D54)/D$61</f>
        <v>0.9138024944104907</v>
      </c>
      <c r="J54" s="27"/>
    </row>
    <row r="55" spans="1:10" ht="11.25">
      <c r="A55" s="34">
        <v>200000</v>
      </c>
      <c r="B55" s="33" t="s">
        <v>53</v>
      </c>
      <c r="C55" s="24">
        <v>299999</v>
      </c>
      <c r="D55" s="41">
        <v>330664</v>
      </c>
      <c r="E55" s="41">
        <v>4532626.846</v>
      </c>
      <c r="F55" s="42">
        <f t="shared" si="0"/>
        <v>0.09150484932066287</v>
      </c>
      <c r="G55" s="43">
        <f t="shared" si="1"/>
        <v>13707.651410495246</v>
      </c>
      <c r="H55" s="43">
        <f t="shared" si="3"/>
        <v>2032.763333504146</v>
      </c>
      <c r="I55" s="44">
        <f>SUM(D$5:D55)/D$61</f>
        <v>0.9350889477289542</v>
      </c>
      <c r="J55" s="27"/>
    </row>
    <row r="56" spans="1:10" ht="11.25">
      <c r="A56" s="34">
        <v>300000</v>
      </c>
      <c r="B56" s="33" t="s">
        <v>53</v>
      </c>
      <c r="C56" s="24">
        <v>399999</v>
      </c>
      <c r="D56" s="41">
        <v>110417</v>
      </c>
      <c r="E56" s="41">
        <v>2494343.041</v>
      </c>
      <c r="F56" s="42">
        <f t="shared" si="0"/>
        <v>0.05035589557127841</v>
      </c>
      <c r="G56" s="43">
        <f t="shared" si="1"/>
        <v>22590.2084008803</v>
      </c>
      <c r="H56" s="43">
        <f t="shared" si="3"/>
        <v>3349.99380698927</v>
      </c>
      <c r="I56" s="44">
        <f>SUM(D$5:D56)/D$61</f>
        <v>0.9421970281854442</v>
      </c>
      <c r="J56" s="27"/>
    </row>
    <row r="57" spans="1:10" ht="11.25">
      <c r="A57" s="34">
        <v>400000</v>
      </c>
      <c r="B57" s="33" t="s">
        <v>53</v>
      </c>
      <c r="C57" s="24">
        <v>499999</v>
      </c>
      <c r="D57" s="41">
        <v>51888</v>
      </c>
      <c r="E57" s="41">
        <v>1652742.637</v>
      </c>
      <c r="F57" s="42">
        <f t="shared" si="0"/>
        <v>0.033365633462190375</v>
      </c>
      <c r="G57" s="43">
        <f t="shared" si="1"/>
        <v>31852.116809281528</v>
      </c>
      <c r="H57" s="43">
        <f t="shared" si="3"/>
        <v>4723.479843879345</v>
      </c>
      <c r="I57" s="44">
        <f>SUM(D$5:D57)/D$61</f>
        <v>0.9455373116447516</v>
      </c>
      <c r="J57" s="27"/>
    </row>
    <row r="58" spans="1:10" ht="11.25">
      <c r="A58" s="34">
        <v>500000</v>
      </c>
      <c r="B58" s="33" t="s">
        <v>53</v>
      </c>
      <c r="C58" s="24">
        <v>999999</v>
      </c>
      <c r="D58" s="41">
        <v>75832</v>
      </c>
      <c r="E58" s="41">
        <v>3936043.165</v>
      </c>
      <c r="F58" s="42">
        <f t="shared" si="0"/>
        <v>0.07946099446743426</v>
      </c>
      <c r="G58" s="43">
        <f t="shared" si="1"/>
        <v>51904.77852357844</v>
      </c>
      <c r="H58" s="43">
        <f t="shared" si="3"/>
        <v>7697.170540505576</v>
      </c>
      <c r="I58" s="44">
        <f>SUM(D$5:D58)/D$61</f>
        <v>0.950418987085821</v>
      </c>
      <c r="J58" s="27"/>
    </row>
    <row r="59" spans="1:10" ht="11.25">
      <c r="A59" s="34">
        <v>1000000</v>
      </c>
      <c r="B59" s="33" t="s">
        <v>54</v>
      </c>
      <c r="C59" s="24"/>
      <c r="D59" s="41">
        <v>42517</v>
      </c>
      <c r="E59" s="41">
        <v>12948664.474999998</v>
      </c>
      <c r="F59" s="42">
        <f t="shared" si="0"/>
        <v>0.26140814850759836</v>
      </c>
      <c r="G59" s="43">
        <f t="shared" si="1"/>
        <v>304552.6371804219</v>
      </c>
      <c r="H59" s="43">
        <f t="shared" si="3"/>
        <v>45163.34822377762</v>
      </c>
      <c r="I59" s="44">
        <f>SUM(D$5:D59)/D$61</f>
        <v>0.9531560136013809</v>
      </c>
      <c r="J59" s="27"/>
    </row>
    <row r="60" spans="1:10" ht="11.25">
      <c r="A60" s="34" t="s">
        <v>55</v>
      </c>
      <c r="B60" s="33"/>
      <c r="C60" s="24"/>
      <c r="D60" s="115">
        <v>727675</v>
      </c>
      <c r="E60" s="115">
        <v>7858069.538</v>
      </c>
      <c r="F60" s="42">
        <f t="shared" si="0"/>
        <v>0.15863901738580952</v>
      </c>
      <c r="G60" s="47">
        <f t="shared" si="1"/>
        <v>10798.872488404852</v>
      </c>
      <c r="H60" s="43">
        <f t="shared" si="3"/>
        <v>1601.4086863055825</v>
      </c>
      <c r="I60" s="44">
        <f>SUM(D$5:D60)/D$61</f>
        <v>1</v>
      </c>
      <c r="J60" s="27"/>
    </row>
    <row r="61" spans="1:11" s="28" customFormat="1" ht="12" thickBot="1">
      <c r="A61" s="245" t="s">
        <v>70</v>
      </c>
      <c r="B61" s="246"/>
      <c r="C61" s="246"/>
      <c r="D61" s="55">
        <f>SUM(D5:D60)</f>
        <v>15534011</v>
      </c>
      <c r="E61" s="55">
        <f>SUM(E5:E60)</f>
        <v>49534280.201000005</v>
      </c>
      <c r="F61" s="49">
        <f>SUM(F5:F60)</f>
        <v>0.9999999999999999</v>
      </c>
      <c r="G61" s="47">
        <f t="shared" si="1"/>
        <v>3188.7630439427403</v>
      </c>
      <c r="H61" s="50">
        <f t="shared" si="3"/>
        <v>472.8746304415748</v>
      </c>
      <c r="I61" s="51"/>
      <c r="J61" s="29"/>
      <c r="K61" s="104"/>
    </row>
    <row r="62" spans="1:10" ht="24" customHeight="1" thickBot="1">
      <c r="A62" s="232" t="s">
        <v>62</v>
      </c>
      <c r="B62" s="233"/>
      <c r="C62" s="233"/>
      <c r="D62" s="233"/>
      <c r="E62" s="233"/>
      <c r="F62" s="233"/>
      <c r="G62" s="233"/>
      <c r="H62" s="233"/>
      <c r="I62" s="234"/>
      <c r="J62" s="27"/>
    </row>
    <row r="63" spans="9:10" ht="11.25">
      <c r="I63" s="27"/>
      <c r="J63" s="27"/>
    </row>
    <row r="64" spans="1:10" ht="11.25">
      <c r="A64" s="29" t="s">
        <v>127</v>
      </c>
      <c r="B64" s="27"/>
      <c r="C64" s="27"/>
      <c r="D64" s="27"/>
      <c r="E64" s="27"/>
      <c r="F64" s="27"/>
      <c r="G64" s="27"/>
      <c r="H64" s="27"/>
      <c r="I64" s="27"/>
      <c r="J64" s="27"/>
    </row>
    <row r="65" spans="1:10" ht="11.25">
      <c r="A65" s="28" t="s">
        <v>128</v>
      </c>
      <c r="B65" s="27"/>
      <c r="C65" s="27"/>
      <c r="D65" s="27"/>
      <c r="E65" s="27"/>
      <c r="F65" s="27"/>
      <c r="G65" s="27"/>
      <c r="H65" s="27"/>
      <c r="I65" s="27"/>
      <c r="J65" s="27"/>
    </row>
    <row r="66" spans="1:10" ht="11.25">
      <c r="A66" s="29"/>
      <c r="B66" s="27"/>
      <c r="C66" s="27"/>
      <c r="D66" s="27"/>
      <c r="E66" s="27"/>
      <c r="F66" s="27"/>
      <c r="G66" s="27"/>
      <c r="H66" s="27"/>
      <c r="I66" s="27"/>
      <c r="J66" s="27"/>
    </row>
    <row r="67" spans="1:10" ht="11.25">
      <c r="A67" s="29" t="s">
        <v>130</v>
      </c>
      <c r="B67" s="27"/>
      <c r="C67" s="27"/>
      <c r="D67" s="27"/>
      <c r="E67" s="27"/>
      <c r="F67" s="27"/>
      <c r="G67" s="27"/>
      <c r="H67" s="27"/>
      <c r="I67" s="27"/>
      <c r="J67" s="27"/>
    </row>
    <row r="68" spans="1:10" ht="11.25">
      <c r="A68" s="27"/>
      <c r="B68" s="27"/>
      <c r="C68" s="27"/>
      <c r="D68" s="27"/>
      <c r="E68" s="27"/>
      <c r="F68" s="27"/>
      <c r="G68" s="27"/>
      <c r="H68" s="27"/>
      <c r="I68" s="27"/>
      <c r="J68" s="27"/>
    </row>
  </sheetData>
  <sheetProtection/>
  <mergeCells count="11">
    <mergeCell ref="D3:D4"/>
    <mergeCell ref="A2:I2"/>
    <mergeCell ref="A62:I62"/>
    <mergeCell ref="I3:I4"/>
    <mergeCell ref="F1:H1"/>
    <mergeCell ref="A3:C4"/>
    <mergeCell ref="A61:C61"/>
    <mergeCell ref="G3:G4"/>
    <mergeCell ref="H3:H4"/>
    <mergeCell ref="F3:F4"/>
    <mergeCell ref="E3:E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3">
      <selection activeCell="H43" sqref="H43"/>
    </sheetView>
  </sheetViews>
  <sheetFormatPr defaultColWidth="9.140625" defaultRowHeight="12.75"/>
  <cols>
    <col min="1" max="1" width="8.7109375" style="26" customWidth="1"/>
    <col min="2" max="2" width="2.28125" style="26" customWidth="1"/>
    <col min="3" max="3" width="7.00390625" style="26" customWidth="1"/>
    <col min="4" max="4" width="9.140625" style="26" customWidth="1"/>
    <col min="5" max="5" width="9.8515625" style="26" customWidth="1"/>
    <col min="6" max="6" width="9.8515625" style="26" hidden="1" customWidth="1"/>
    <col min="7" max="7" width="9.8515625" style="26" customWidth="1"/>
    <col min="8" max="8" width="12.28125" style="26" customWidth="1"/>
    <col min="9" max="9" width="8.8515625" style="26" customWidth="1"/>
    <col min="10" max="13" width="9.140625" style="26" customWidth="1"/>
    <col min="14" max="14" width="9.57421875" style="26" bestFit="1" customWidth="1"/>
    <col min="15" max="16384" width="9.140625" style="26" customWidth="1"/>
  </cols>
  <sheetData>
    <row r="1" spans="1:10" ht="12" thickBot="1">
      <c r="A1" s="21"/>
      <c r="B1" s="22"/>
      <c r="C1" s="23"/>
      <c r="D1" s="24"/>
      <c r="E1" s="25"/>
      <c r="F1" s="237">
        <f>+Reset!S11*1000000</f>
        <v>7345639710.900359</v>
      </c>
      <c r="G1" s="237"/>
      <c r="H1" s="238"/>
      <c r="I1" s="28" t="s">
        <v>48</v>
      </c>
      <c r="J1" s="27"/>
    </row>
    <row r="2" spans="1:10" ht="24.75" customHeight="1">
      <c r="A2" s="229" t="s">
        <v>67</v>
      </c>
      <c r="B2" s="230"/>
      <c r="C2" s="230"/>
      <c r="D2" s="230"/>
      <c r="E2" s="230"/>
      <c r="F2" s="230"/>
      <c r="G2" s="230"/>
      <c r="H2" s="230"/>
      <c r="I2" s="231"/>
      <c r="J2" s="27"/>
    </row>
    <row r="3" spans="1:10" ht="12.75" customHeight="1">
      <c r="A3" s="239" t="s">
        <v>57</v>
      </c>
      <c r="B3" s="240"/>
      <c r="C3" s="241"/>
      <c r="D3" s="247" t="s">
        <v>58</v>
      </c>
      <c r="E3" s="247" t="s">
        <v>56</v>
      </c>
      <c r="F3" s="247" t="s">
        <v>50</v>
      </c>
      <c r="G3" s="247" t="s">
        <v>59</v>
      </c>
      <c r="H3" s="247" t="s">
        <v>60</v>
      </c>
      <c r="I3" s="235" t="s">
        <v>61</v>
      </c>
      <c r="J3" s="27"/>
    </row>
    <row r="4" spans="1:10" ht="44.25" customHeight="1">
      <c r="A4" s="242"/>
      <c r="B4" s="243"/>
      <c r="C4" s="244"/>
      <c r="D4" s="248" t="s">
        <v>49</v>
      </c>
      <c r="E4" s="248"/>
      <c r="F4" s="248"/>
      <c r="G4" s="248"/>
      <c r="H4" s="248"/>
      <c r="I4" s="236"/>
      <c r="J4" s="27"/>
    </row>
    <row r="5" spans="1:10" ht="11.25">
      <c r="A5" s="35"/>
      <c r="B5" s="30" t="s">
        <v>51</v>
      </c>
      <c r="C5" s="24"/>
      <c r="D5" s="54">
        <v>184193</v>
      </c>
      <c r="E5" s="54">
        <v>4318.868</v>
      </c>
      <c r="F5" s="42">
        <f aca="true" t="shared" si="0" ref="F5:F60">E5/$E$61</f>
        <v>7.345152461302262E-05</v>
      </c>
      <c r="G5" s="47">
        <f aca="true" t="shared" si="1" ref="G5:G61">+E5*1000/D5</f>
        <v>23.447514292074075</v>
      </c>
      <c r="H5" s="47">
        <f aca="true" t="shared" si="2" ref="H5:H61">((F5*$F$1)/D5)</f>
        <v>2.929255921905795</v>
      </c>
      <c r="I5" s="53">
        <f>SUM(D$5:D5)/D$61</f>
        <v>0.011703241533523468</v>
      </c>
      <c r="J5" s="27"/>
    </row>
    <row r="6" spans="1:10" ht="11.25">
      <c r="A6" s="36"/>
      <c r="B6" s="31" t="s">
        <v>52</v>
      </c>
      <c r="C6" s="32"/>
      <c r="D6" s="45">
        <v>453</v>
      </c>
      <c r="E6" s="52">
        <v>0</v>
      </c>
      <c r="F6" s="46">
        <f t="shared" si="0"/>
        <v>0</v>
      </c>
      <c r="G6" s="47">
        <f t="shared" si="1"/>
        <v>0</v>
      </c>
      <c r="H6" s="47">
        <f t="shared" si="2"/>
        <v>0</v>
      </c>
      <c r="I6" s="48">
        <f>SUM(D$5:D6)/D$61</f>
        <v>0.011732024214812585</v>
      </c>
      <c r="J6" s="27"/>
    </row>
    <row r="7" spans="1:10" ht="11.25">
      <c r="A7" s="56" t="s">
        <v>63</v>
      </c>
      <c r="B7" s="33" t="s">
        <v>53</v>
      </c>
      <c r="C7" s="57" t="s">
        <v>64</v>
      </c>
      <c r="D7" s="41">
        <v>139804</v>
      </c>
      <c r="E7" s="41">
        <v>38.911</v>
      </c>
      <c r="F7" s="42">
        <f t="shared" si="0"/>
        <v>6.617642109500273E-07</v>
      </c>
      <c r="G7" s="43">
        <f t="shared" si="1"/>
        <v>0.2783253698034391</v>
      </c>
      <c r="H7" s="43">
        <f t="shared" si="2"/>
        <v>0.03477068944527455</v>
      </c>
      <c r="I7" s="44">
        <f>SUM(D$5:D7)/D$61</f>
        <v>0.020614880671641644</v>
      </c>
      <c r="J7" s="27"/>
    </row>
    <row r="8" spans="1:10" ht="11.25">
      <c r="A8" s="34">
        <v>1000</v>
      </c>
      <c r="B8" s="33" t="s">
        <v>53</v>
      </c>
      <c r="C8" s="24">
        <v>1999</v>
      </c>
      <c r="D8" s="41">
        <v>157975</v>
      </c>
      <c r="E8" s="41">
        <v>166.084</v>
      </c>
      <c r="F8" s="42">
        <f t="shared" si="0"/>
        <v>2.8246112207711016E-06</v>
      </c>
      <c r="G8" s="43">
        <f t="shared" si="1"/>
        <v>1.0513309067890488</v>
      </c>
      <c r="H8" s="43">
        <f t="shared" si="2"/>
        <v>0.13134088527394175</v>
      </c>
      <c r="I8" s="44">
        <f>SUM(D$5:D8)/D$61</f>
        <v>0.03065228481435266</v>
      </c>
      <c r="J8" s="27"/>
    </row>
    <row r="9" spans="1:10" ht="11.25">
      <c r="A9" s="34">
        <v>2000</v>
      </c>
      <c r="B9" s="33" t="s">
        <v>53</v>
      </c>
      <c r="C9" s="24">
        <v>2999</v>
      </c>
      <c r="D9" s="41">
        <v>181906</v>
      </c>
      <c r="E9" s="41">
        <v>470.927</v>
      </c>
      <c r="F9" s="42">
        <f t="shared" si="0"/>
        <v>8.009113992702926E-06</v>
      </c>
      <c r="G9" s="43">
        <f t="shared" si="1"/>
        <v>2.588848086374281</v>
      </c>
      <c r="H9" s="43">
        <f t="shared" si="2"/>
        <v>0.32342014993417667</v>
      </c>
      <c r="I9" s="44">
        <f>SUM(D$5:D9)/D$61</f>
        <v>0.04221021510701915</v>
      </c>
      <c r="J9" s="27"/>
    </row>
    <row r="10" spans="1:10" ht="11.25">
      <c r="A10" s="34">
        <v>3000</v>
      </c>
      <c r="B10" s="33" t="s">
        <v>53</v>
      </c>
      <c r="C10" s="24">
        <v>3999</v>
      </c>
      <c r="D10" s="41">
        <v>214837</v>
      </c>
      <c r="E10" s="41">
        <v>517.534</v>
      </c>
      <c r="F10" s="42">
        <f t="shared" si="0"/>
        <v>8.80176503173425E-06</v>
      </c>
      <c r="G10" s="43">
        <f t="shared" si="1"/>
        <v>2.408961212454093</v>
      </c>
      <c r="H10" s="43">
        <f t="shared" si="2"/>
        <v>0.30094720529108704</v>
      </c>
      <c r="I10" s="44">
        <f>SUM(D$5:D10)/D$61</f>
        <v>0.05586051289975602</v>
      </c>
      <c r="J10" s="27"/>
    </row>
    <row r="11" spans="1:10" ht="11.25">
      <c r="A11" s="34">
        <v>4000</v>
      </c>
      <c r="B11" s="33" t="s">
        <v>53</v>
      </c>
      <c r="C11" s="24">
        <v>4999</v>
      </c>
      <c r="D11" s="41">
        <v>198993</v>
      </c>
      <c r="E11" s="41">
        <v>1856.118</v>
      </c>
      <c r="F11" s="42">
        <f t="shared" si="0"/>
        <v>3.156722941328012E-05</v>
      </c>
      <c r="G11" s="43">
        <f t="shared" si="1"/>
        <v>9.327554235576125</v>
      </c>
      <c r="H11" s="43">
        <f t="shared" si="2"/>
        <v>1.1652746274557009</v>
      </c>
      <c r="I11" s="44">
        <f>SUM(D$5:D11)/D$61</f>
        <v>0.06850411576457953</v>
      </c>
      <c r="J11" s="27"/>
    </row>
    <row r="12" spans="1:10" ht="11.25">
      <c r="A12" s="34">
        <v>5000</v>
      </c>
      <c r="B12" s="33" t="s">
        <v>53</v>
      </c>
      <c r="C12" s="24">
        <v>5999</v>
      </c>
      <c r="D12" s="41">
        <v>223323</v>
      </c>
      <c r="E12" s="41">
        <v>2439.364</v>
      </c>
      <c r="F12" s="42">
        <f t="shared" si="0"/>
        <v>4.148656659247777E-05</v>
      </c>
      <c r="G12" s="43">
        <f t="shared" si="1"/>
        <v>10.923030767095193</v>
      </c>
      <c r="H12" s="43">
        <f t="shared" si="2"/>
        <v>1.3645946500388089</v>
      </c>
      <c r="I12" s="44">
        <f>SUM(D$5:D12)/D$61</f>
        <v>0.08269359641254694</v>
      </c>
      <c r="J12" s="27"/>
    </row>
    <row r="13" spans="1:10" ht="11.25">
      <c r="A13" s="34">
        <v>6000</v>
      </c>
      <c r="B13" s="33" t="s">
        <v>53</v>
      </c>
      <c r="C13" s="24">
        <v>6999</v>
      </c>
      <c r="D13" s="41">
        <v>240783</v>
      </c>
      <c r="E13" s="41">
        <v>2921.956</v>
      </c>
      <c r="F13" s="42">
        <f t="shared" si="0"/>
        <v>4.9694068689334584E-05</v>
      </c>
      <c r="G13" s="43">
        <f t="shared" si="1"/>
        <v>12.135225493494142</v>
      </c>
      <c r="H13" s="43">
        <f t="shared" si="2"/>
        <v>1.5160319638869284</v>
      </c>
      <c r="I13" s="44">
        <f>SUM(D$5:D13)/D$61</f>
        <v>0.09799244927973723</v>
      </c>
      <c r="J13" s="27"/>
    </row>
    <row r="14" spans="1:10" ht="11.25">
      <c r="A14" s="34">
        <v>7000</v>
      </c>
      <c r="B14" s="33" t="s">
        <v>53</v>
      </c>
      <c r="C14" s="24">
        <v>7999</v>
      </c>
      <c r="D14" s="41">
        <v>229408</v>
      </c>
      <c r="E14" s="41">
        <v>2335.66</v>
      </c>
      <c r="F14" s="42">
        <f t="shared" si="0"/>
        <v>3.9722859781232575E-05</v>
      </c>
      <c r="G14" s="43">
        <f t="shared" si="1"/>
        <v>10.18124912819082</v>
      </c>
      <c r="H14" s="43">
        <f t="shared" si="2"/>
        <v>1.2719251998166965</v>
      </c>
      <c r="I14" s="44">
        <f>SUM(D$5:D14)/D$61</f>
        <v>0.11256855821831009</v>
      </c>
      <c r="J14" s="27"/>
    </row>
    <row r="15" spans="1:10" ht="11.25">
      <c r="A15" s="34">
        <v>8000</v>
      </c>
      <c r="B15" s="33" t="s">
        <v>53</v>
      </c>
      <c r="C15" s="24">
        <v>8999</v>
      </c>
      <c r="D15" s="41">
        <v>248291</v>
      </c>
      <c r="E15" s="41">
        <v>1780.726</v>
      </c>
      <c r="F15" s="42">
        <f t="shared" si="0"/>
        <v>3.0285028303261247E-05</v>
      </c>
      <c r="G15" s="43">
        <f t="shared" si="1"/>
        <v>7.171931322520752</v>
      </c>
      <c r="H15" s="43">
        <f t="shared" si="2"/>
        <v>0.8959765217030707</v>
      </c>
      <c r="I15" s="44">
        <f>SUM(D$5:D15)/D$61</f>
        <v>0.12834445384735177</v>
      </c>
      <c r="J15" s="27"/>
    </row>
    <row r="16" spans="1:10" ht="11.25">
      <c r="A16" s="34">
        <v>9000</v>
      </c>
      <c r="B16" s="33" t="s">
        <v>53</v>
      </c>
      <c r="C16" s="24">
        <v>9999</v>
      </c>
      <c r="D16" s="41">
        <v>247151</v>
      </c>
      <c r="E16" s="41">
        <v>1784.112</v>
      </c>
      <c r="F16" s="42">
        <f t="shared" si="0"/>
        <v>3.0342614425907205E-05</v>
      </c>
      <c r="G16" s="43">
        <f t="shared" si="1"/>
        <v>7.218712447046542</v>
      </c>
      <c r="H16" s="43">
        <f t="shared" si="2"/>
        <v>0.9018208037170883</v>
      </c>
      <c r="I16" s="44">
        <f>SUM(D$5:D16)/D$61</f>
        <v>0.14404791623871224</v>
      </c>
      <c r="J16" s="27"/>
    </row>
    <row r="17" spans="1:10" ht="11.25">
      <c r="A17" s="34">
        <v>10000</v>
      </c>
      <c r="B17" s="33" t="s">
        <v>53</v>
      </c>
      <c r="C17" s="24">
        <v>10999</v>
      </c>
      <c r="D17" s="41">
        <v>242473</v>
      </c>
      <c r="E17" s="41">
        <v>2023.544</v>
      </c>
      <c r="F17" s="42">
        <f t="shared" si="0"/>
        <v>3.4414664194769144E-05</v>
      </c>
      <c r="G17" s="43">
        <f t="shared" si="1"/>
        <v>8.345440523274757</v>
      </c>
      <c r="H17" s="43">
        <f t="shared" si="2"/>
        <v>1.042580922190912</v>
      </c>
      <c r="I17" s="44">
        <f>SUM(D$5:D17)/D$61</f>
        <v>0.15945414820386855</v>
      </c>
      <c r="J17" s="27"/>
    </row>
    <row r="18" spans="1:10" ht="11.25">
      <c r="A18" s="34">
        <v>11000</v>
      </c>
      <c r="B18" s="33" t="s">
        <v>53</v>
      </c>
      <c r="C18" s="24">
        <v>11999</v>
      </c>
      <c r="D18" s="41">
        <v>235809</v>
      </c>
      <c r="E18" s="41">
        <v>2426.565</v>
      </c>
      <c r="F18" s="42">
        <f t="shared" si="0"/>
        <v>4.1268892409445995E-05</v>
      </c>
      <c r="G18" s="43">
        <f t="shared" si="1"/>
        <v>10.29038331870285</v>
      </c>
      <c r="H18" s="43">
        <f t="shared" si="2"/>
        <v>1.285559138572747</v>
      </c>
      <c r="I18" s="44">
        <f>SUM(D$5:D18)/D$61</f>
        <v>0.1744369634182287</v>
      </c>
      <c r="J18" s="27"/>
    </row>
    <row r="19" spans="1:10" ht="11.25">
      <c r="A19" s="34">
        <v>12000</v>
      </c>
      <c r="B19" s="33" t="s">
        <v>53</v>
      </c>
      <c r="C19" s="24">
        <v>12999</v>
      </c>
      <c r="D19" s="41">
        <v>222251</v>
      </c>
      <c r="E19" s="41">
        <v>2296.985</v>
      </c>
      <c r="F19" s="42">
        <f t="shared" si="0"/>
        <v>3.906510925160105E-05</v>
      </c>
      <c r="G19" s="43">
        <f t="shared" si="1"/>
        <v>10.335094105313361</v>
      </c>
      <c r="H19" s="43">
        <f t="shared" si="2"/>
        <v>1.2911447769828783</v>
      </c>
      <c r="I19" s="44">
        <f>SUM(D$5:D19)/D$61</f>
        <v>0.18855833140760464</v>
      </c>
      <c r="J19" s="27"/>
    </row>
    <row r="20" spans="1:10" ht="11.25">
      <c r="A20" s="34">
        <v>13000</v>
      </c>
      <c r="B20" s="33" t="s">
        <v>53</v>
      </c>
      <c r="C20" s="24">
        <v>13999</v>
      </c>
      <c r="D20" s="41">
        <v>235977</v>
      </c>
      <c r="E20" s="41">
        <v>4627.248</v>
      </c>
      <c r="F20" s="42">
        <f t="shared" si="0"/>
        <v>7.869618158335925E-05</v>
      </c>
      <c r="G20" s="43">
        <f t="shared" si="1"/>
        <v>19.60889408713561</v>
      </c>
      <c r="H20" s="43">
        <f t="shared" si="2"/>
        <v>2.449703981892088</v>
      </c>
      <c r="I20" s="44">
        <f>SUM(D$5:D20)/D$61</f>
        <v>0.2035518209938336</v>
      </c>
      <c r="J20" s="27"/>
    </row>
    <row r="21" spans="1:10" ht="11.25">
      <c r="A21" s="34">
        <v>14000</v>
      </c>
      <c r="B21" s="33" t="s">
        <v>53</v>
      </c>
      <c r="C21" s="24">
        <v>14999</v>
      </c>
      <c r="D21" s="41">
        <v>246312</v>
      </c>
      <c r="E21" s="41">
        <v>4157.681</v>
      </c>
      <c r="F21" s="42">
        <f t="shared" si="0"/>
        <v>7.07101972796104E-05</v>
      </c>
      <c r="G21" s="43">
        <f t="shared" si="1"/>
        <v>16.879733833511967</v>
      </c>
      <c r="H21" s="43">
        <f t="shared" si="2"/>
        <v>2.1087548844664683</v>
      </c>
      <c r="I21" s="44">
        <f>SUM(D$5:D21)/D$61</f>
        <v>0.21920197506377778</v>
      </c>
      <c r="J21" s="27"/>
    </row>
    <row r="22" spans="1:10" ht="11.25">
      <c r="A22" s="34">
        <v>15000</v>
      </c>
      <c r="B22" s="33" t="s">
        <v>53</v>
      </c>
      <c r="C22" s="24">
        <v>15999</v>
      </c>
      <c r="D22" s="41">
        <v>241503</v>
      </c>
      <c r="E22" s="41">
        <v>5818.886</v>
      </c>
      <c r="F22" s="42">
        <f t="shared" si="0"/>
        <v>9.896251708766573E-05</v>
      </c>
      <c r="G22" s="43">
        <f t="shared" si="1"/>
        <v>24.09446673540287</v>
      </c>
      <c r="H22" s="43">
        <f t="shared" si="2"/>
        <v>3.0100785307421143</v>
      </c>
      <c r="I22" s="44">
        <f>SUM(D$5:D22)/D$61</f>
        <v>0.23454657523897726</v>
      </c>
      <c r="J22" s="27"/>
    </row>
    <row r="23" spans="1:10" ht="11.25">
      <c r="A23" s="34">
        <v>16000</v>
      </c>
      <c r="B23" s="33" t="s">
        <v>53</v>
      </c>
      <c r="C23" s="24">
        <v>16999</v>
      </c>
      <c r="D23" s="41">
        <v>233542</v>
      </c>
      <c r="E23" s="41">
        <v>7919.133</v>
      </c>
      <c r="F23" s="42">
        <f t="shared" si="0"/>
        <v>0.0001346816787323205</v>
      </c>
      <c r="G23" s="43">
        <f t="shared" si="1"/>
        <v>33.908817257709536</v>
      </c>
      <c r="H23" s="43">
        <f t="shared" si="2"/>
        <v>4.236167745531244</v>
      </c>
      <c r="I23" s="44">
        <f>SUM(D$5:D23)/D$61</f>
        <v>0.24938534997103623</v>
      </c>
      <c r="J23" s="27"/>
    </row>
    <row r="24" spans="1:10" ht="11.25">
      <c r="A24" s="34">
        <v>17000</v>
      </c>
      <c r="B24" s="33" t="s">
        <v>53</v>
      </c>
      <c r="C24" s="24">
        <v>17999</v>
      </c>
      <c r="D24" s="41">
        <v>233876</v>
      </c>
      <c r="E24" s="41">
        <v>10375.254</v>
      </c>
      <c r="F24" s="42">
        <f t="shared" si="0"/>
        <v>0.0001764532337055361</v>
      </c>
      <c r="G24" s="43">
        <f t="shared" si="1"/>
        <v>44.36220048230686</v>
      </c>
      <c r="H24" s="43">
        <f t="shared" si="2"/>
        <v>5.5420901701079535</v>
      </c>
      <c r="I24" s="44">
        <f>SUM(D$5:D24)/D$61</f>
        <v>0.26424534637097724</v>
      </c>
      <c r="J24" s="27"/>
    </row>
    <row r="25" spans="1:10" ht="11.25">
      <c r="A25" s="34">
        <v>18000</v>
      </c>
      <c r="B25" s="33" t="s">
        <v>53</v>
      </c>
      <c r="C25" s="24">
        <v>18999</v>
      </c>
      <c r="D25" s="41">
        <v>226691</v>
      </c>
      <c r="E25" s="41">
        <v>9682.835</v>
      </c>
      <c r="F25" s="42">
        <f t="shared" si="0"/>
        <v>0.00016467717775267424</v>
      </c>
      <c r="G25" s="43">
        <f t="shared" si="1"/>
        <v>42.713804253366916</v>
      </c>
      <c r="H25" s="43">
        <f t="shared" si="2"/>
        <v>5.336158984604775</v>
      </c>
      <c r="I25" s="44">
        <f>SUM(D$5:D25)/D$61</f>
        <v>0.27864882275974323</v>
      </c>
      <c r="J25" s="27"/>
    </row>
    <row r="26" spans="1:10" ht="11.25">
      <c r="A26" s="34">
        <v>19000</v>
      </c>
      <c r="B26" s="33" t="s">
        <v>53</v>
      </c>
      <c r="C26" s="24">
        <v>19999</v>
      </c>
      <c r="D26" s="41">
        <v>225053</v>
      </c>
      <c r="E26" s="41">
        <v>13936.623</v>
      </c>
      <c r="F26" s="42">
        <f t="shared" si="0"/>
        <v>0.00023702187872074742</v>
      </c>
      <c r="G26" s="43">
        <f t="shared" si="1"/>
        <v>61.92595966283498</v>
      </c>
      <c r="H26" s="43">
        <f t="shared" si="2"/>
        <v>7.7362991148010956</v>
      </c>
      <c r="I26" s="44">
        <f>SUM(D$5:D26)/D$61</f>
        <v>0.29294822402278825</v>
      </c>
      <c r="J26" s="27"/>
    </row>
    <row r="27" spans="1:10" ht="11.25">
      <c r="A27" s="34">
        <v>20000</v>
      </c>
      <c r="B27" s="33" t="s">
        <v>53</v>
      </c>
      <c r="C27" s="24">
        <v>20999</v>
      </c>
      <c r="D27" s="41">
        <v>237259</v>
      </c>
      <c r="E27" s="41">
        <v>16099.347</v>
      </c>
      <c r="F27" s="42">
        <f t="shared" si="0"/>
        <v>0.0002738035944659785</v>
      </c>
      <c r="G27" s="43">
        <f t="shared" si="1"/>
        <v>67.85557976725856</v>
      </c>
      <c r="H27" s="43">
        <f t="shared" si="2"/>
        <v>8.477075923343474</v>
      </c>
      <c r="I27" s="44">
        <f>SUM(D$5:D27)/D$61</f>
        <v>0.30802316923244466</v>
      </c>
      <c r="J27" s="27"/>
    </row>
    <row r="28" spans="1:10" ht="11.25">
      <c r="A28" s="34">
        <v>21000</v>
      </c>
      <c r="B28" s="33" t="s">
        <v>53</v>
      </c>
      <c r="C28" s="24">
        <v>21999</v>
      </c>
      <c r="D28" s="41">
        <v>198950</v>
      </c>
      <c r="E28" s="41">
        <v>15713.159</v>
      </c>
      <c r="F28" s="42">
        <f t="shared" si="0"/>
        <v>0.00026723564717348104</v>
      </c>
      <c r="G28" s="43">
        <f t="shared" si="1"/>
        <v>78.98044232219151</v>
      </c>
      <c r="H28" s="43">
        <f t="shared" si="2"/>
        <v>9.866885056776475</v>
      </c>
      <c r="I28" s="44">
        <f>SUM(D$5:D28)/D$61</f>
        <v>0.32066403996637316</v>
      </c>
      <c r="J28" s="27"/>
    </row>
    <row r="29" spans="1:10" ht="11.25">
      <c r="A29" s="34">
        <v>22000</v>
      </c>
      <c r="B29" s="33" t="s">
        <v>53</v>
      </c>
      <c r="C29" s="24">
        <v>22999</v>
      </c>
      <c r="D29" s="41">
        <v>208585</v>
      </c>
      <c r="E29" s="41">
        <v>19147.669</v>
      </c>
      <c r="F29" s="42">
        <f t="shared" si="0"/>
        <v>0.0003256467854158798</v>
      </c>
      <c r="G29" s="43">
        <f t="shared" si="1"/>
        <v>91.79791931346934</v>
      </c>
      <c r="H29" s="43">
        <f t="shared" si="2"/>
        <v>11.468149477085765</v>
      </c>
      <c r="I29" s="44">
        <f>SUM(D$5:D29)/D$61</f>
        <v>0.3339170986345636</v>
      </c>
      <c r="J29" s="27"/>
    </row>
    <row r="30" spans="1:10" ht="11.25">
      <c r="A30" s="34">
        <v>23000</v>
      </c>
      <c r="B30" s="33" t="s">
        <v>53</v>
      </c>
      <c r="C30" s="24">
        <v>23999</v>
      </c>
      <c r="D30" s="41">
        <v>204476</v>
      </c>
      <c r="E30" s="41">
        <v>22907.614</v>
      </c>
      <c r="F30" s="42">
        <f t="shared" si="0"/>
        <v>0.0003895926371323739</v>
      </c>
      <c r="G30" s="43">
        <f t="shared" si="1"/>
        <v>112.0308202429625</v>
      </c>
      <c r="H30" s="43">
        <f t="shared" si="2"/>
        <v>13.99580951502357</v>
      </c>
      <c r="I30" s="44">
        <f>SUM(D$5:D30)/D$61</f>
        <v>0.3469090799574626</v>
      </c>
      <c r="J30" s="27"/>
    </row>
    <row r="31" spans="1:10" ht="11.25">
      <c r="A31" s="34">
        <v>24000</v>
      </c>
      <c r="B31" s="33" t="s">
        <v>53</v>
      </c>
      <c r="C31" s="24">
        <v>24999</v>
      </c>
      <c r="D31" s="41">
        <v>201411</v>
      </c>
      <c r="E31" s="41">
        <v>25387.948</v>
      </c>
      <c r="F31" s="42">
        <f t="shared" si="0"/>
        <v>0.0004317759856045932</v>
      </c>
      <c r="G31" s="43">
        <f t="shared" si="1"/>
        <v>126.05045404670052</v>
      </c>
      <c r="H31" s="43">
        <f t="shared" si="2"/>
        <v>15.7472572305894</v>
      </c>
      <c r="I31" s="44">
        <f>SUM(D$5:D31)/D$61</f>
        <v>0.35970631753168364</v>
      </c>
      <c r="J31" s="27"/>
    </row>
    <row r="32" spans="1:10" ht="11.25">
      <c r="A32" s="34">
        <v>25000</v>
      </c>
      <c r="B32" s="33" t="s">
        <v>53</v>
      </c>
      <c r="C32" s="24">
        <v>25999</v>
      </c>
      <c r="D32" s="41">
        <v>197155</v>
      </c>
      <c r="E32" s="41">
        <v>28586.099</v>
      </c>
      <c r="F32" s="42">
        <f t="shared" si="0"/>
        <v>0.00048616733697089164</v>
      </c>
      <c r="G32" s="43">
        <f t="shared" si="1"/>
        <v>144.99302071973827</v>
      </c>
      <c r="H32" s="43">
        <f t="shared" si="2"/>
        <v>18.113718123284006</v>
      </c>
      <c r="I32" s="44">
        <f>SUM(D$5:D32)/D$61</f>
        <v>0.37223313768522814</v>
      </c>
      <c r="J32" s="27"/>
    </row>
    <row r="33" spans="1:10" ht="11.25">
      <c r="A33" s="34">
        <v>26000</v>
      </c>
      <c r="B33" s="33" t="s">
        <v>53</v>
      </c>
      <c r="C33" s="24">
        <v>26999</v>
      </c>
      <c r="D33" s="41">
        <v>201922</v>
      </c>
      <c r="E33" s="41">
        <v>32281.809</v>
      </c>
      <c r="F33" s="42">
        <f t="shared" si="0"/>
        <v>0.0005490207360624114</v>
      </c>
      <c r="G33" s="43">
        <f t="shared" si="1"/>
        <v>159.87266865423283</v>
      </c>
      <c r="H33" s="43">
        <f t="shared" si="2"/>
        <v>19.972605862302245</v>
      </c>
      <c r="I33" s="44">
        <f>SUM(D$5:D33)/D$61</f>
        <v>0.38506284314055017</v>
      </c>
      <c r="J33" s="27"/>
    </row>
    <row r="34" spans="1:10" ht="11.25">
      <c r="A34" s="34">
        <v>27000</v>
      </c>
      <c r="B34" s="33" t="s">
        <v>53</v>
      </c>
      <c r="C34" s="24">
        <v>27999</v>
      </c>
      <c r="D34" s="41">
        <v>185677</v>
      </c>
      <c r="E34" s="41">
        <v>31429.099</v>
      </c>
      <c r="F34" s="42">
        <f t="shared" si="0"/>
        <v>0.0005345185911594483</v>
      </c>
      <c r="G34" s="43">
        <f t="shared" si="1"/>
        <v>169.26759372458625</v>
      </c>
      <c r="H34" s="43">
        <f t="shared" si="2"/>
        <v>21.146297007358786</v>
      </c>
      <c r="I34" s="44">
        <f>SUM(D$5:D34)/D$61</f>
        <v>0.3968603749589148</v>
      </c>
      <c r="J34" s="27"/>
    </row>
    <row r="35" spans="1:10" ht="11.25">
      <c r="A35" s="34">
        <v>28000</v>
      </c>
      <c r="B35" s="33" t="s">
        <v>53</v>
      </c>
      <c r="C35" s="24">
        <v>28999</v>
      </c>
      <c r="D35" s="41">
        <v>190197</v>
      </c>
      <c r="E35" s="41">
        <v>34937.333</v>
      </c>
      <c r="F35" s="42">
        <f t="shared" si="0"/>
        <v>0.0005941835626286487</v>
      </c>
      <c r="G35" s="43">
        <f t="shared" si="1"/>
        <v>183.69024222253768</v>
      </c>
      <c r="H35" s="43">
        <f t="shared" si="2"/>
        <v>22.948092626115308</v>
      </c>
      <c r="I35" s="44">
        <f>SUM(D$5:D35)/D$61</f>
        <v>0.4089450982108927</v>
      </c>
      <c r="J35" s="27"/>
    </row>
    <row r="36" spans="1:10" ht="11.25">
      <c r="A36" s="34">
        <v>29000</v>
      </c>
      <c r="B36" s="33" t="s">
        <v>53</v>
      </c>
      <c r="C36" s="24">
        <v>29999</v>
      </c>
      <c r="D36" s="41">
        <v>190174</v>
      </c>
      <c r="E36" s="41">
        <v>35580.978</v>
      </c>
      <c r="F36" s="42">
        <f t="shared" si="0"/>
        <v>0.0006051301131042709</v>
      </c>
      <c r="G36" s="43">
        <f t="shared" si="1"/>
        <v>187.09696383312124</v>
      </c>
      <c r="H36" s="43">
        <f t="shared" si="2"/>
        <v>23.373688249079045</v>
      </c>
      <c r="I36" s="44">
        <f>SUM(D$5:D36)/D$61</f>
        <v>0.4210283600905314</v>
      </c>
      <c r="J36" s="27"/>
    </row>
    <row r="37" spans="1:10" ht="11.25">
      <c r="A37" s="34">
        <v>30000</v>
      </c>
      <c r="B37" s="33" t="s">
        <v>53</v>
      </c>
      <c r="C37" s="24">
        <v>30999</v>
      </c>
      <c r="D37" s="41">
        <v>191330</v>
      </c>
      <c r="E37" s="41">
        <v>48849.545</v>
      </c>
      <c r="F37" s="42">
        <f t="shared" si="0"/>
        <v>0.0008307902804397947</v>
      </c>
      <c r="G37" s="43">
        <f t="shared" si="1"/>
        <v>255.31565880938692</v>
      </c>
      <c r="H37" s="43">
        <f t="shared" si="2"/>
        <v>31.896127504461415</v>
      </c>
      <c r="I37" s="44">
        <f>SUM(D$5:D37)/D$61</f>
        <v>0.43318507181469595</v>
      </c>
      <c r="J37" s="27"/>
    </row>
    <row r="38" spans="1:10" ht="11.25">
      <c r="A38" s="34">
        <v>31000</v>
      </c>
      <c r="B38" s="33" t="s">
        <v>53</v>
      </c>
      <c r="C38" s="24">
        <v>31999</v>
      </c>
      <c r="D38" s="41">
        <v>176192</v>
      </c>
      <c r="E38" s="41">
        <v>46875.442</v>
      </c>
      <c r="F38" s="42">
        <f t="shared" si="0"/>
        <v>0.0007972164654741275</v>
      </c>
      <c r="G38" s="43">
        <f t="shared" si="1"/>
        <v>266.0475049945514</v>
      </c>
      <c r="H38" s="43">
        <f t="shared" si="2"/>
        <v>33.236837807450826</v>
      </c>
      <c r="I38" s="44">
        <f>SUM(D$5:D38)/D$61</f>
        <v>0.4443799463879673</v>
      </c>
      <c r="J38" s="27"/>
    </row>
    <row r="39" spans="1:10" ht="11.25">
      <c r="A39" s="34">
        <v>32000</v>
      </c>
      <c r="B39" s="33" t="s">
        <v>53</v>
      </c>
      <c r="C39" s="24">
        <v>32999</v>
      </c>
      <c r="D39" s="41">
        <v>170996</v>
      </c>
      <c r="E39" s="41">
        <v>47780.107</v>
      </c>
      <c r="F39" s="42">
        <f t="shared" si="0"/>
        <v>0.000812602215516509</v>
      </c>
      <c r="G39" s="43">
        <f t="shared" si="1"/>
        <v>279.42236660506677</v>
      </c>
      <c r="H39" s="43">
        <f t="shared" si="2"/>
        <v>34.90773528891717</v>
      </c>
      <c r="I39" s="44">
        <f>SUM(D$5:D39)/D$61</f>
        <v>0.455244677888439</v>
      </c>
      <c r="J39" s="27"/>
    </row>
    <row r="40" spans="1:10" ht="11.25">
      <c r="A40" s="34">
        <v>33000</v>
      </c>
      <c r="B40" s="33" t="s">
        <v>53</v>
      </c>
      <c r="C40" s="24">
        <v>33999</v>
      </c>
      <c r="D40" s="41">
        <v>176705</v>
      </c>
      <c r="E40" s="41">
        <v>60571.412</v>
      </c>
      <c r="F40" s="42">
        <f t="shared" si="0"/>
        <v>0.0010301455287273268</v>
      </c>
      <c r="G40" s="43">
        <f t="shared" si="1"/>
        <v>342.7826716844458</v>
      </c>
      <c r="H40" s="43">
        <f t="shared" si="2"/>
        <v>42.823224604996454</v>
      </c>
      <c r="I40" s="44">
        <f>SUM(D$5:D40)/D$61</f>
        <v>0.4664721474186668</v>
      </c>
      <c r="J40" s="27"/>
    </row>
    <row r="41" spans="1:10" ht="11.25">
      <c r="A41" s="34">
        <v>34000</v>
      </c>
      <c r="B41" s="33" t="s">
        <v>53</v>
      </c>
      <c r="C41" s="24">
        <v>34999</v>
      </c>
      <c r="D41" s="41">
        <v>162160</v>
      </c>
      <c r="E41" s="41">
        <v>49245.016</v>
      </c>
      <c r="F41" s="42">
        <f t="shared" si="0"/>
        <v>0.0008375161048665281</v>
      </c>
      <c r="G41" s="43">
        <f t="shared" si="1"/>
        <v>303.6816477553034</v>
      </c>
      <c r="H41" s="43">
        <f t="shared" si="2"/>
        <v>37.93840378901183</v>
      </c>
      <c r="I41" s="44">
        <f>SUM(D$5:D41)/D$61</f>
        <v>0.4767754577891813</v>
      </c>
      <c r="J41" s="27"/>
    </row>
    <row r="42" spans="1:10" ht="11.25">
      <c r="A42" s="34">
        <v>35000</v>
      </c>
      <c r="B42" s="33" t="s">
        <v>53</v>
      </c>
      <c r="C42" s="24">
        <v>35999</v>
      </c>
      <c r="D42" s="41">
        <v>143530</v>
      </c>
      <c r="E42" s="41">
        <v>52358.637</v>
      </c>
      <c r="F42" s="42">
        <f t="shared" si="0"/>
        <v>0.0008904698440215853</v>
      </c>
      <c r="G42" s="43">
        <f t="shared" si="1"/>
        <v>364.7922873266913</v>
      </c>
      <c r="H42" s="43">
        <f t="shared" si="2"/>
        <v>45.57284642656034</v>
      </c>
      <c r="I42" s="44">
        <f>SUM(D$5:D42)/D$61</f>
        <v>0.4858950565649579</v>
      </c>
      <c r="J42" s="27"/>
    </row>
    <row r="43" spans="1:10" ht="11.25">
      <c r="A43" s="34">
        <v>36000</v>
      </c>
      <c r="B43" s="33" t="s">
        <v>53</v>
      </c>
      <c r="C43" s="24">
        <v>36999</v>
      </c>
      <c r="D43" s="41">
        <v>149546</v>
      </c>
      <c r="E43" s="41">
        <v>55898.917</v>
      </c>
      <c r="F43" s="42">
        <f t="shared" si="0"/>
        <v>0.0009506798257938904</v>
      </c>
      <c r="G43" s="43">
        <f t="shared" si="1"/>
        <v>373.7907867813248</v>
      </c>
      <c r="H43" s="43">
        <f t="shared" si="2"/>
        <v>46.69701283018895</v>
      </c>
      <c r="I43" s="44">
        <f>SUM(D$5:D43)/D$61</f>
        <v>0.4953968995143224</v>
      </c>
      <c r="J43" s="27"/>
    </row>
    <row r="44" spans="1:10" ht="11.25">
      <c r="A44" s="34">
        <v>37000</v>
      </c>
      <c r="B44" s="33" t="s">
        <v>53</v>
      </c>
      <c r="C44" s="24">
        <v>37999</v>
      </c>
      <c r="D44" s="41">
        <v>128981</v>
      </c>
      <c r="E44" s="41">
        <v>45974.714</v>
      </c>
      <c r="F44" s="42">
        <f t="shared" si="0"/>
        <v>0.0007818976724798431</v>
      </c>
      <c r="G44" s="43">
        <f t="shared" si="1"/>
        <v>356.44563152712414</v>
      </c>
      <c r="H44" s="43">
        <f t="shared" si="2"/>
        <v>44.530113682081065</v>
      </c>
      <c r="I44" s="44">
        <f>SUM(D$5:D44)/D$61</f>
        <v>0.5035920849786745</v>
      </c>
      <c r="J44" s="27"/>
    </row>
    <row r="45" spans="1:10" ht="11.25">
      <c r="A45" s="34">
        <v>38000</v>
      </c>
      <c r="B45" s="33" t="s">
        <v>53</v>
      </c>
      <c r="C45" s="24">
        <v>38999</v>
      </c>
      <c r="D45" s="41">
        <v>146898</v>
      </c>
      <c r="E45" s="41">
        <v>61508.767</v>
      </c>
      <c r="F45" s="42">
        <f t="shared" si="0"/>
        <v>0.0010460872416608177</v>
      </c>
      <c r="G45" s="43">
        <f t="shared" si="1"/>
        <v>418.7175250854334</v>
      </c>
      <c r="H45" s="43">
        <f t="shared" si="2"/>
        <v>52.30962969822545</v>
      </c>
      <c r="I45" s="44">
        <f>SUM(D$5:D45)/D$61</f>
        <v>0.5129256794952496</v>
      </c>
      <c r="J45" s="27"/>
    </row>
    <row r="46" spans="1:10" ht="11.25">
      <c r="A46" s="34">
        <v>39000</v>
      </c>
      <c r="B46" s="33" t="s">
        <v>53</v>
      </c>
      <c r="C46" s="24">
        <v>39999</v>
      </c>
      <c r="D46" s="41">
        <v>157817</v>
      </c>
      <c r="E46" s="41">
        <v>81641.689</v>
      </c>
      <c r="F46" s="42">
        <f t="shared" si="0"/>
        <v>0.0013884903472466017</v>
      </c>
      <c r="G46" s="43">
        <f t="shared" si="1"/>
        <v>517.3187235849116</v>
      </c>
      <c r="H46" s="43">
        <f t="shared" si="2"/>
        <v>64.62770064654929</v>
      </c>
      <c r="I46" s="44">
        <f>SUM(D$5:D46)/D$61</f>
        <v>0.5229530446453697</v>
      </c>
      <c r="J46" s="27"/>
    </row>
    <row r="47" spans="1:10" ht="11.25">
      <c r="A47" s="34">
        <v>40000</v>
      </c>
      <c r="B47" s="33" t="s">
        <v>53</v>
      </c>
      <c r="C47" s="24">
        <v>49999</v>
      </c>
      <c r="D47" s="41">
        <v>1244970</v>
      </c>
      <c r="E47" s="41">
        <v>797928.164</v>
      </c>
      <c r="F47" s="42">
        <f t="shared" si="0"/>
        <v>0.013570463412512246</v>
      </c>
      <c r="G47" s="43">
        <f t="shared" si="1"/>
        <v>640.9215997172622</v>
      </c>
      <c r="H47" s="43">
        <f t="shared" si="2"/>
        <v>80.0691863565149</v>
      </c>
      <c r="I47" s="44">
        <f>SUM(D$5:D47)/D$61</f>
        <v>0.6020558586067619</v>
      </c>
      <c r="J47" s="27"/>
    </row>
    <row r="48" spans="1:10" ht="11.25">
      <c r="A48" s="34">
        <v>50000</v>
      </c>
      <c r="B48" s="33" t="s">
        <v>53</v>
      </c>
      <c r="C48" s="24">
        <v>59999</v>
      </c>
      <c r="D48" s="41">
        <v>933675</v>
      </c>
      <c r="E48" s="41">
        <v>941254.224</v>
      </c>
      <c r="F48" s="42">
        <f t="shared" si="0"/>
        <v>0.016008027520463115</v>
      </c>
      <c r="G48" s="43">
        <f t="shared" si="1"/>
        <v>1008.1176255120894</v>
      </c>
      <c r="H48" s="43">
        <f t="shared" si="2"/>
        <v>125.94232752028239</v>
      </c>
      <c r="I48" s="44">
        <f>SUM(D$5:D48)/D$61</f>
        <v>0.6613796333365971</v>
      </c>
      <c r="J48" s="27"/>
    </row>
    <row r="49" spans="1:10" ht="11.25">
      <c r="A49" s="34">
        <v>60000</v>
      </c>
      <c r="B49" s="33" t="s">
        <v>53</v>
      </c>
      <c r="C49" s="24">
        <v>69999</v>
      </c>
      <c r="D49" s="41">
        <v>756466</v>
      </c>
      <c r="E49" s="41">
        <v>1078212.26</v>
      </c>
      <c r="F49" s="42">
        <f t="shared" si="0"/>
        <v>0.01833728985314039</v>
      </c>
      <c r="G49" s="43">
        <f t="shared" si="1"/>
        <v>1425.328117853281</v>
      </c>
      <c r="H49" s="43">
        <f t="shared" si="2"/>
        <v>178.0636863197001</v>
      </c>
      <c r="I49" s="44">
        <f>SUM(D$5:D49)/D$61</f>
        <v>0.7094439154205979</v>
      </c>
      <c r="J49" s="27"/>
    </row>
    <row r="50" spans="1:10" ht="11.25">
      <c r="A50" s="34">
        <v>70000</v>
      </c>
      <c r="B50" s="33" t="s">
        <v>53</v>
      </c>
      <c r="C50" s="24">
        <v>79999</v>
      </c>
      <c r="D50" s="41">
        <v>630531</v>
      </c>
      <c r="E50" s="41">
        <v>1182972.388</v>
      </c>
      <c r="F50" s="42">
        <f t="shared" si="0"/>
        <v>0.020118958364485354</v>
      </c>
      <c r="G50" s="43">
        <f t="shared" si="1"/>
        <v>1876.1526205690125</v>
      </c>
      <c r="H50" s="43">
        <f t="shared" si="2"/>
        <v>234.38438316928838</v>
      </c>
      <c r="I50" s="44">
        <f>SUM(D$5:D50)/D$61</f>
        <v>0.7495065485682967</v>
      </c>
      <c r="J50" s="27"/>
    </row>
    <row r="51" spans="1:10" ht="11.25">
      <c r="A51" s="34">
        <v>80000</v>
      </c>
      <c r="B51" s="33" t="s">
        <v>53</v>
      </c>
      <c r="C51" s="24">
        <v>89999</v>
      </c>
      <c r="D51" s="41">
        <v>500737</v>
      </c>
      <c r="E51" s="41">
        <v>1178273.609</v>
      </c>
      <c r="F51" s="42">
        <f t="shared" si="0"/>
        <v>0.02003904564629863</v>
      </c>
      <c r="G51" s="43">
        <f t="shared" si="1"/>
        <v>2353.078779878459</v>
      </c>
      <c r="H51" s="43">
        <f t="shared" si="2"/>
        <v>293.96591317996507</v>
      </c>
      <c r="I51" s="44">
        <f>SUM(D$5:D51)/D$61</f>
        <v>0.7813223399163498</v>
      </c>
      <c r="J51" s="27"/>
    </row>
    <row r="52" spans="1:10" ht="11.25">
      <c r="A52" s="34">
        <v>90000</v>
      </c>
      <c r="B52" s="33" t="s">
        <v>53</v>
      </c>
      <c r="C52" s="24">
        <v>99999</v>
      </c>
      <c r="D52" s="41">
        <v>406198</v>
      </c>
      <c r="E52" s="41">
        <v>1159991.324</v>
      </c>
      <c r="F52" s="42">
        <f t="shared" si="0"/>
        <v>0.019728116554078218</v>
      </c>
      <c r="G52" s="43">
        <f t="shared" si="1"/>
        <v>2855.7287923623453</v>
      </c>
      <c r="H52" s="43">
        <f t="shared" si="2"/>
        <v>356.76107804791684</v>
      </c>
      <c r="I52" s="44">
        <f>SUM(D$5:D52)/D$61</f>
        <v>0.8071313191090127</v>
      </c>
      <c r="J52" s="27"/>
    </row>
    <row r="53" spans="1:10" ht="11.25">
      <c r="A53" s="34">
        <v>100000</v>
      </c>
      <c r="B53" s="33" t="s">
        <v>53</v>
      </c>
      <c r="C53" s="24">
        <v>149999</v>
      </c>
      <c r="D53" s="41">
        <v>1185897</v>
      </c>
      <c r="E53" s="41">
        <v>5387044.641</v>
      </c>
      <c r="F53" s="42">
        <f t="shared" si="0"/>
        <v>0.09161813744709563</v>
      </c>
      <c r="G53" s="43">
        <f t="shared" si="1"/>
        <v>4542.590664281974</v>
      </c>
      <c r="H53" s="43">
        <f t="shared" si="2"/>
        <v>567.4977073642254</v>
      </c>
      <c r="I53" s="44">
        <f>SUM(D$5:D53)/D$61</f>
        <v>0.8824807570620342</v>
      </c>
      <c r="J53" s="27"/>
    </row>
    <row r="54" spans="1:10" ht="11.25">
      <c r="A54" s="34">
        <v>150000</v>
      </c>
      <c r="B54" s="33" t="s">
        <v>53</v>
      </c>
      <c r="C54" s="24">
        <v>199999</v>
      </c>
      <c r="D54" s="41">
        <v>479687</v>
      </c>
      <c r="E54" s="41">
        <v>4052628.9</v>
      </c>
      <c r="F54" s="42">
        <f t="shared" si="0"/>
        <v>0.06892356316418949</v>
      </c>
      <c r="G54" s="43">
        <f t="shared" si="1"/>
        <v>8448.485991907222</v>
      </c>
      <c r="H54" s="43">
        <f t="shared" si="2"/>
        <v>1055.4542078389022</v>
      </c>
      <c r="I54" s="44">
        <f>SUM(D$5:D54)/D$61</f>
        <v>0.9129590750300963</v>
      </c>
      <c r="J54" s="27"/>
    </row>
    <row r="55" spans="1:10" ht="11.25">
      <c r="A55" s="34">
        <v>200000</v>
      </c>
      <c r="B55" s="33" t="s">
        <v>53</v>
      </c>
      <c r="C55" s="24">
        <v>299999</v>
      </c>
      <c r="D55" s="41">
        <v>328462</v>
      </c>
      <c r="E55" s="41">
        <v>4632044.583</v>
      </c>
      <c r="F55" s="42">
        <f t="shared" si="0"/>
        <v>0.07877775766632425</v>
      </c>
      <c r="G55" s="43">
        <f t="shared" si="1"/>
        <v>14102.223645353191</v>
      </c>
      <c r="H55" s="43">
        <f t="shared" si="2"/>
        <v>1761.7655164050532</v>
      </c>
      <c r="I55" s="44">
        <f>SUM(D$5:D55)/D$61</f>
        <v>0.9338288698680336</v>
      </c>
      <c r="J55" s="27"/>
    </row>
    <row r="56" spans="1:10" ht="11.25">
      <c r="A56" s="34">
        <v>300000</v>
      </c>
      <c r="B56" s="33" t="s">
        <v>53</v>
      </c>
      <c r="C56" s="24">
        <v>399999</v>
      </c>
      <c r="D56" s="41">
        <v>115449</v>
      </c>
      <c r="E56" s="41">
        <v>2689414.805</v>
      </c>
      <c r="F56" s="42">
        <f t="shared" si="0"/>
        <v>0.04573921169715882</v>
      </c>
      <c r="G56" s="43">
        <f t="shared" si="1"/>
        <v>23295.262886642588</v>
      </c>
      <c r="H56" s="43">
        <f t="shared" si="2"/>
        <v>2910.235426793892</v>
      </c>
      <c r="I56" s="44">
        <f>SUM(D$5:D56)/D$61</f>
        <v>0.941164260093524</v>
      </c>
      <c r="J56" s="27"/>
    </row>
    <row r="57" spans="1:10" ht="11.25">
      <c r="A57" s="34">
        <v>400000</v>
      </c>
      <c r="B57" s="33" t="s">
        <v>53</v>
      </c>
      <c r="C57" s="24">
        <v>499999</v>
      </c>
      <c r="D57" s="41">
        <v>57415</v>
      </c>
      <c r="E57" s="41">
        <v>1869756.828</v>
      </c>
      <c r="F57" s="42">
        <f t="shared" si="0"/>
        <v>0.031799186655440514</v>
      </c>
      <c r="G57" s="43">
        <f t="shared" si="1"/>
        <v>32565.650579116955</v>
      </c>
      <c r="H57" s="43">
        <f t="shared" si="2"/>
        <v>4068.3683405126994</v>
      </c>
      <c r="I57" s="44">
        <f>SUM(D$5:D57)/D$61</f>
        <v>0.944812290217618</v>
      </c>
      <c r="J57" s="27"/>
    </row>
    <row r="58" spans="1:10" ht="11.25">
      <c r="A58" s="34">
        <v>500000</v>
      </c>
      <c r="B58" s="33" t="s">
        <v>53</v>
      </c>
      <c r="C58" s="24">
        <v>999999</v>
      </c>
      <c r="D58" s="41">
        <v>90523</v>
      </c>
      <c r="E58" s="41">
        <v>4817385.448</v>
      </c>
      <c r="F58" s="42">
        <f t="shared" si="0"/>
        <v>0.08192987278244876</v>
      </c>
      <c r="G58" s="43">
        <f t="shared" si="1"/>
        <v>53217.25360405643</v>
      </c>
      <c r="H58" s="43">
        <f t="shared" si="2"/>
        <v>6648.336080551574</v>
      </c>
      <c r="I58" s="44">
        <f>SUM(D$5:D58)/D$61</f>
        <v>0.9505639340550014</v>
      </c>
      <c r="J58" s="27"/>
    </row>
    <row r="59" spans="1:10" ht="11.25">
      <c r="A59" s="34">
        <v>1000000</v>
      </c>
      <c r="B59" s="33" t="s">
        <v>54</v>
      </c>
      <c r="C59" s="24"/>
      <c r="D59" s="41">
        <v>55698</v>
      </c>
      <c r="E59" s="41">
        <v>19011346.931</v>
      </c>
      <c r="F59" s="42">
        <f t="shared" si="0"/>
        <v>0.3233283390529783</v>
      </c>
      <c r="G59" s="43">
        <f t="shared" si="1"/>
        <v>341329.0770045603</v>
      </c>
      <c r="H59" s="43">
        <f t="shared" si="2"/>
        <v>42641.62962776065</v>
      </c>
      <c r="I59" s="44">
        <f>SUM(D$5:D59)/D$61</f>
        <v>0.954102869557079</v>
      </c>
      <c r="J59" s="27"/>
    </row>
    <row r="60" spans="1:10" ht="11.25">
      <c r="A60" s="34" t="s">
        <v>55</v>
      </c>
      <c r="B60" s="33"/>
      <c r="C60" s="24"/>
      <c r="D60" s="115">
        <v>722358</v>
      </c>
      <c r="E60" s="115">
        <v>9105964</v>
      </c>
      <c r="F60" s="42">
        <f t="shared" si="0"/>
        <v>0.15486626099044884</v>
      </c>
      <c r="G60" s="47">
        <f t="shared" si="1"/>
        <v>12605.887939221273</v>
      </c>
      <c r="H60" s="43">
        <f t="shared" si="2"/>
        <v>1574.8309793898597</v>
      </c>
      <c r="I60" s="44">
        <f>SUM(D$5:D60)/D$61</f>
        <v>1</v>
      </c>
      <c r="J60" s="27"/>
    </row>
    <row r="61" spans="1:11" s="28" customFormat="1" ht="12" thickBot="1">
      <c r="A61" s="245" t="s">
        <v>70</v>
      </c>
      <c r="B61" s="246"/>
      <c r="C61" s="246"/>
      <c r="D61" s="55">
        <f>SUM(D5:D60)</f>
        <v>15738631</v>
      </c>
      <c r="E61" s="55">
        <f>SUM(E5:E60)</f>
        <v>58798888.42</v>
      </c>
      <c r="F61" s="49">
        <f>SUM(F5:F60)</f>
        <v>1</v>
      </c>
      <c r="G61" s="47">
        <f t="shared" si="1"/>
        <v>3735.9595265941493</v>
      </c>
      <c r="H61" s="50">
        <f t="shared" si="2"/>
        <v>466.7267255265314</v>
      </c>
      <c r="I61" s="51"/>
      <c r="J61" s="29"/>
      <c r="K61" s="104"/>
    </row>
    <row r="62" spans="1:10" ht="24" customHeight="1" thickBot="1">
      <c r="A62" s="232" t="s">
        <v>62</v>
      </c>
      <c r="B62" s="233"/>
      <c r="C62" s="233"/>
      <c r="D62" s="233"/>
      <c r="E62" s="233"/>
      <c r="F62" s="233"/>
      <c r="G62" s="233"/>
      <c r="H62" s="233"/>
      <c r="I62" s="234"/>
      <c r="J62" s="27"/>
    </row>
    <row r="63" spans="9:10" ht="11.25">
      <c r="I63" s="27"/>
      <c r="J63" s="27"/>
    </row>
    <row r="64" spans="1:10" ht="11.25">
      <c r="A64" s="29" t="s">
        <v>129</v>
      </c>
      <c r="B64" s="27"/>
      <c r="C64" s="27"/>
      <c r="D64" s="27"/>
      <c r="E64" s="27"/>
      <c r="F64" s="27"/>
      <c r="G64" s="27"/>
      <c r="H64" s="27"/>
      <c r="I64" s="27"/>
      <c r="J64" s="27"/>
    </row>
    <row r="65" spans="1:10" ht="11.25">
      <c r="A65" s="28" t="s">
        <v>128</v>
      </c>
      <c r="B65" s="27"/>
      <c r="C65" s="27"/>
      <c r="D65" s="27"/>
      <c r="E65" s="27"/>
      <c r="F65" s="27"/>
      <c r="G65" s="27"/>
      <c r="H65" s="27"/>
      <c r="I65" s="27"/>
      <c r="J65" s="27"/>
    </row>
    <row r="66" spans="1:10" ht="11.25">
      <c r="A66" s="29"/>
      <c r="B66" s="27"/>
      <c r="C66" s="27"/>
      <c r="D66" s="27"/>
      <c r="E66" s="27"/>
      <c r="F66" s="27"/>
      <c r="G66" s="27"/>
      <c r="H66" s="27"/>
      <c r="I66" s="27"/>
      <c r="J66" s="27"/>
    </row>
    <row r="67" spans="1:10" ht="11.25">
      <c r="A67" s="29"/>
      <c r="B67" s="27"/>
      <c r="C67" s="27"/>
      <c r="D67" s="27"/>
      <c r="E67" s="27"/>
      <c r="F67" s="27"/>
      <c r="G67" s="27"/>
      <c r="H67" s="27"/>
      <c r="I67" s="27"/>
      <c r="J67" s="27"/>
    </row>
    <row r="68" spans="1:10" ht="11.25">
      <c r="A68" s="27"/>
      <c r="B68" s="27"/>
      <c r="C68" s="27"/>
      <c r="D68" s="27"/>
      <c r="E68" s="27"/>
      <c r="F68" s="27"/>
      <c r="G68" s="27"/>
      <c r="H68" s="27"/>
      <c r="I68" s="27"/>
      <c r="J68" s="27"/>
    </row>
  </sheetData>
  <sheetProtection/>
  <mergeCells count="11">
    <mergeCell ref="H3:H4"/>
    <mergeCell ref="I3:I4"/>
    <mergeCell ref="A61:C61"/>
    <mergeCell ref="A62:I62"/>
    <mergeCell ref="F1:H1"/>
    <mergeCell ref="A2:I2"/>
    <mergeCell ref="A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Hays</dc:creator>
  <cp:keywords/>
  <dc:description/>
  <cp:lastModifiedBy>Hays</cp:lastModifiedBy>
  <cp:lastPrinted>2011-05-12T17:31:10Z</cp:lastPrinted>
  <dcterms:created xsi:type="dcterms:W3CDTF">2009-10-07T23:04:10Z</dcterms:created>
  <dcterms:modified xsi:type="dcterms:W3CDTF">2012-09-19T22:27:44Z</dcterms:modified>
  <cp:category/>
  <cp:version/>
  <cp:contentType/>
  <cp:contentStatus/>
</cp:coreProperties>
</file>